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1835"/>
  </bookViews>
  <sheets>
    <sheet name="Hoja1" sheetId="1" r:id="rId1"/>
    <sheet name="Hoja2" sheetId="2" r:id="rId2"/>
    <sheet name="Hoja3" sheetId="3" r:id="rId3"/>
  </sheets>
  <externalReferences>
    <externalReference r:id="rId4"/>
  </externalReferences>
  <definedNames>
    <definedName name="_Toc208202813" localSheetId="0">Hoja1!$B$109</definedName>
  </definedNames>
  <calcPr calcId="145621"/>
</workbook>
</file>

<file path=xl/calcChain.xml><?xml version="1.0" encoding="utf-8"?>
<calcChain xmlns="http://schemas.openxmlformats.org/spreadsheetml/2006/main">
  <c r="C650" i="1" l="1"/>
  <c r="D644" i="1"/>
  <c r="D650" i="1" s="1"/>
  <c r="D640" i="1"/>
  <c r="D643" i="1" s="1"/>
  <c r="C640" i="1"/>
  <c r="C643" i="1" s="1"/>
  <c r="C651" i="1" s="1"/>
  <c r="B635" i="1"/>
  <c r="B620" i="1"/>
  <c r="E613" i="1"/>
  <c r="D613" i="1"/>
  <c r="C613" i="1"/>
  <c r="D612" i="1"/>
  <c r="D614" i="1" s="1"/>
  <c r="C612" i="1"/>
  <c r="C614" i="1" s="1"/>
  <c r="C615" i="1" s="1"/>
  <c r="B611" i="1"/>
  <c r="B623" i="1" s="1"/>
  <c r="B636" i="1" s="1"/>
  <c r="B609" i="1"/>
  <c r="E600" i="1"/>
  <c r="D600" i="1"/>
  <c r="C600" i="1"/>
  <c r="D599" i="1"/>
  <c r="E599" i="1" s="1"/>
  <c r="C599" i="1"/>
  <c r="D598" i="1"/>
  <c r="C598" i="1"/>
  <c r="E598" i="1" s="1"/>
  <c r="D597" i="1"/>
  <c r="C597" i="1"/>
  <c r="E597" i="1" s="1"/>
  <c r="E596" i="1"/>
  <c r="D596" i="1"/>
  <c r="C596" i="1"/>
  <c r="D595" i="1"/>
  <c r="E595" i="1" s="1"/>
  <c r="C595" i="1"/>
  <c r="D594" i="1"/>
  <c r="C594" i="1"/>
  <c r="E594" i="1" s="1"/>
  <c r="D593" i="1"/>
  <c r="C593" i="1"/>
  <c r="E593" i="1" s="1"/>
  <c r="E592" i="1"/>
  <c r="D592" i="1"/>
  <c r="D601" i="1" s="1"/>
  <c r="C592" i="1"/>
  <c r="D591" i="1"/>
  <c r="D611" i="1" s="1"/>
  <c r="D623" i="1" s="1"/>
  <c r="D636" i="1" s="1"/>
  <c r="C591" i="1"/>
  <c r="C611" i="1" s="1"/>
  <c r="C623" i="1" s="1"/>
  <c r="B589" i="1"/>
  <c r="E578" i="1"/>
  <c r="D576" i="1"/>
  <c r="C576" i="1"/>
  <c r="D575" i="1"/>
  <c r="C575" i="1"/>
  <c r="B573" i="1"/>
  <c r="E565" i="1"/>
  <c r="D565" i="1"/>
  <c r="C565" i="1"/>
  <c r="D564" i="1"/>
  <c r="AA564" i="1" s="1"/>
  <c r="C564" i="1"/>
  <c r="D563" i="1"/>
  <c r="AA563" i="1" s="1"/>
  <c r="C563" i="1"/>
  <c r="D562" i="1"/>
  <c r="AA562" i="1" s="1"/>
  <c r="C562" i="1"/>
  <c r="D561" i="1"/>
  <c r="AA561" i="1" s="1"/>
  <c r="C561" i="1"/>
  <c r="D560" i="1"/>
  <c r="AA560" i="1" s="1"/>
  <c r="C560" i="1"/>
  <c r="E560" i="1" s="1"/>
  <c r="D559" i="1"/>
  <c r="D566" i="1" s="1"/>
  <c r="C559" i="1"/>
  <c r="C566" i="1" s="1"/>
  <c r="C567" i="1" s="1"/>
  <c r="D558" i="1"/>
  <c r="C558" i="1"/>
  <c r="B556" i="1"/>
  <c r="C550" i="1"/>
  <c r="C549" i="1"/>
  <c r="E547" i="1"/>
  <c r="D547" i="1"/>
  <c r="D549" i="1" s="1"/>
  <c r="C547" i="1"/>
  <c r="D546" i="1"/>
  <c r="C546" i="1"/>
  <c r="B544" i="1"/>
  <c r="E526" i="1"/>
  <c r="D526" i="1"/>
  <c r="C526" i="1"/>
  <c r="E525" i="1"/>
  <c r="D525" i="1"/>
  <c r="C525" i="1"/>
  <c r="D524" i="1"/>
  <c r="C524" i="1"/>
  <c r="E524" i="1" s="1"/>
  <c r="D523" i="1"/>
  <c r="C523" i="1"/>
  <c r="E523" i="1" s="1"/>
  <c r="E522" i="1"/>
  <c r="D522" i="1"/>
  <c r="C522" i="1"/>
  <c r="E521" i="1"/>
  <c r="D521" i="1"/>
  <c r="C521" i="1"/>
  <c r="D520" i="1"/>
  <c r="C520" i="1"/>
  <c r="E520" i="1" s="1"/>
  <c r="D519" i="1"/>
  <c r="C519" i="1"/>
  <c r="E519" i="1" s="1"/>
  <c r="D518" i="1"/>
  <c r="C518" i="1"/>
  <c r="E518" i="1" s="1"/>
  <c r="J517" i="1"/>
  <c r="D517" i="1"/>
  <c r="D527" i="1" s="1"/>
  <c r="C517" i="1"/>
  <c r="C527" i="1" s="1"/>
  <c r="L516" i="1"/>
  <c r="L518" i="1" s="1"/>
  <c r="K516" i="1"/>
  <c r="D516" i="1"/>
  <c r="C516" i="1"/>
  <c r="B516" i="1"/>
  <c r="L515" i="1"/>
  <c r="L514" i="1"/>
  <c r="K514" i="1"/>
  <c r="B514" i="1"/>
  <c r="K513" i="1"/>
  <c r="K512"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E498" i="1"/>
  <c r="E510" i="1" s="1"/>
  <c r="D498" i="1"/>
  <c r="D510" i="1" s="1"/>
  <c r="C498" i="1"/>
  <c r="C510" i="1" s="1"/>
  <c r="V491" i="1"/>
  <c r="U491" i="1"/>
  <c r="S491" i="1"/>
  <c r="T491" i="1" s="1"/>
  <c r="R491" i="1" s="1"/>
  <c r="S490" i="1"/>
  <c r="T490" i="1" s="1"/>
  <c r="V489" i="1"/>
  <c r="U489" i="1"/>
  <c r="S489" i="1"/>
  <c r="T489" i="1" s="1"/>
  <c r="V488" i="1"/>
  <c r="S488" i="1"/>
  <c r="S492" i="1" s="1"/>
  <c r="V487" i="1"/>
  <c r="U487" i="1"/>
  <c r="T487" i="1"/>
  <c r="R487" i="1" s="1"/>
  <c r="S487" i="1"/>
  <c r="V486" i="1"/>
  <c r="U486" i="1"/>
  <c r="T486" i="1"/>
  <c r="S486" i="1"/>
  <c r="R486" i="1"/>
  <c r="U485" i="1"/>
  <c r="T485" i="1"/>
  <c r="S485" i="1"/>
  <c r="T484" i="1"/>
  <c r="S484" i="1"/>
  <c r="N484" i="1"/>
  <c r="D483" i="1"/>
  <c r="V484" i="1" s="1"/>
  <c r="N482" i="1"/>
  <c r="C482" i="1"/>
  <c r="U482" i="1" s="1"/>
  <c r="S481" i="1"/>
  <c r="C481" i="1"/>
  <c r="T481" i="1" s="1"/>
  <c r="D480" i="1"/>
  <c r="V485" i="1" s="1"/>
  <c r="C480" i="1"/>
  <c r="T480" i="1" s="1"/>
  <c r="D479" i="1"/>
  <c r="C479" i="1"/>
  <c r="B478" i="1"/>
  <c r="B475" i="1"/>
  <c r="D467" i="1"/>
  <c r="D466" i="1" s="1"/>
  <c r="D468" i="1" s="1"/>
  <c r="C467" i="1"/>
  <c r="E467" i="1" s="1"/>
  <c r="B461" i="1"/>
  <c r="AA451" i="1"/>
  <c r="X451" i="1"/>
  <c r="AA450" i="1"/>
  <c r="D449" i="1"/>
  <c r="E449" i="1" s="1"/>
  <c r="C449" i="1"/>
  <c r="C448" i="1"/>
  <c r="E448" i="1" s="1"/>
  <c r="C447" i="1"/>
  <c r="E447" i="1" s="1"/>
  <c r="D446" i="1"/>
  <c r="D450" i="1" s="1"/>
  <c r="C446" i="1"/>
  <c r="D445" i="1"/>
  <c r="C445" i="1"/>
  <c r="B442" i="1"/>
  <c r="AA435" i="1"/>
  <c r="Y435" i="1"/>
  <c r="X435" i="1"/>
  <c r="W435" i="1"/>
  <c r="AA434" i="1"/>
  <c r="D433" i="1"/>
  <c r="C433" i="1"/>
  <c r="D432" i="1"/>
  <c r="C432" i="1"/>
  <c r="E432" i="1" s="1"/>
  <c r="E431" i="1"/>
  <c r="D431" i="1"/>
  <c r="C431" i="1"/>
  <c r="E430" i="1"/>
  <c r="D430" i="1"/>
  <c r="C430" i="1"/>
  <c r="D429" i="1"/>
  <c r="C429" i="1"/>
  <c r="E429" i="1" s="1"/>
  <c r="D428" i="1"/>
  <c r="C428" i="1"/>
  <c r="C434" i="1" s="1"/>
  <c r="E427" i="1"/>
  <c r="D427" i="1"/>
  <c r="D434" i="1" s="1"/>
  <c r="C427" i="1"/>
  <c r="B422" i="1"/>
  <c r="D415" i="1"/>
  <c r="D417" i="1" s="1"/>
  <c r="C415" i="1"/>
  <c r="E415" i="1" s="1"/>
  <c r="D414" i="1"/>
  <c r="C414" i="1"/>
  <c r="E414" i="1" s="1"/>
  <c r="E417" i="1" s="1"/>
  <c r="E419" i="1" s="1"/>
  <c r="D419" i="1" s="1"/>
  <c r="B410" i="1"/>
  <c r="D392" i="1"/>
  <c r="E391" i="1"/>
  <c r="E392" i="1" s="1"/>
  <c r="E394" i="1" s="1"/>
  <c r="D394" i="1" s="1"/>
  <c r="D391" i="1"/>
  <c r="C391" i="1"/>
  <c r="C392" i="1" s="1"/>
  <c r="D380" i="1"/>
  <c r="E380" i="1" s="1"/>
  <c r="C380" i="1"/>
  <c r="C379" i="1"/>
  <c r="E379" i="1" s="1"/>
  <c r="D378" i="1"/>
  <c r="D381" i="1" s="1"/>
  <c r="D377" i="1"/>
  <c r="C377" i="1"/>
  <c r="B373" i="1"/>
  <c r="C361" i="1"/>
  <c r="S361" i="1" s="1"/>
  <c r="E360" i="1"/>
  <c r="D360" i="1"/>
  <c r="D577" i="1" s="1"/>
  <c r="C360" i="1"/>
  <c r="D359" i="1"/>
  <c r="E359" i="1" s="1"/>
  <c r="C359" i="1"/>
  <c r="D358" i="1"/>
  <c r="C358" i="1"/>
  <c r="B355" i="1"/>
  <c r="E311" i="1"/>
  <c r="D311" i="1"/>
  <c r="C311" i="1"/>
  <c r="E308" i="1"/>
  <c r="D307" i="1"/>
  <c r="D309" i="1" s="1"/>
  <c r="C307" i="1"/>
  <c r="C309" i="1" s="1"/>
  <c r="E306" i="1"/>
  <c r="E305" i="1"/>
  <c r="E304" i="1"/>
  <c r="E307" i="1" s="1"/>
  <c r="E309" i="1" s="1"/>
  <c r="E301" i="1"/>
  <c r="E300" i="1"/>
  <c r="E302" i="1" s="1"/>
  <c r="D300" i="1"/>
  <c r="D302" i="1" s="1"/>
  <c r="C300" i="1"/>
  <c r="C302" i="1" s="1"/>
  <c r="E299" i="1"/>
  <c r="E298" i="1"/>
  <c r="E296" i="1"/>
  <c r="F295" i="1"/>
  <c r="C293" i="1"/>
  <c r="C292" i="1"/>
  <c r="D290" i="1"/>
  <c r="C290" i="1"/>
  <c r="E290" i="1" s="1"/>
  <c r="D289" i="1"/>
  <c r="D294" i="1" s="1"/>
  <c r="C289" i="1"/>
  <c r="C294" i="1" s="1"/>
  <c r="C295" i="1" s="1"/>
  <c r="E284" i="1"/>
  <c r="E283" i="1"/>
  <c r="D283" i="1"/>
  <c r="C283" i="1"/>
  <c r="E282" i="1"/>
  <c r="D282" i="1"/>
  <c r="C282" i="1"/>
  <c r="E279" i="1"/>
  <c r="D278" i="1"/>
  <c r="D280" i="1" s="1"/>
  <c r="C278" i="1"/>
  <c r="C280" i="1" s="1"/>
  <c r="C287" i="1" s="1"/>
  <c r="E277" i="1"/>
  <c r="E276" i="1"/>
  <c r="E278" i="1" s="1"/>
  <c r="E280" i="1" s="1"/>
  <c r="E275" i="1"/>
  <c r="C271" i="1"/>
  <c r="C270" i="1"/>
  <c r="E269" i="1"/>
  <c r="D268" i="1"/>
  <c r="C268" i="1"/>
  <c r="E268" i="1" s="1"/>
  <c r="D267" i="1"/>
  <c r="D272" i="1" s="1"/>
  <c r="D274" i="1" s="1"/>
  <c r="C267" i="1"/>
  <c r="C272" i="1" s="1"/>
  <c r="C274" i="1" s="1"/>
  <c r="E264" i="1"/>
  <c r="C263" i="1"/>
  <c r="C265" i="1" s="1"/>
  <c r="C262" i="1"/>
  <c r="E260" i="1"/>
  <c r="D259" i="1"/>
  <c r="E259" i="1" s="1"/>
  <c r="B259" i="1"/>
  <c r="B268" i="1" s="1"/>
  <c r="B283" i="1" s="1"/>
  <c r="B290" i="1" s="1"/>
  <c r="C258" i="1"/>
  <c r="E255" i="1"/>
  <c r="C253" i="1"/>
  <c r="B253" i="1"/>
  <c r="B262" i="1" s="1"/>
  <c r="B271" i="1" s="1"/>
  <c r="B286" i="1" s="1"/>
  <c r="B293" i="1" s="1"/>
  <c r="C252" i="1"/>
  <c r="B252" i="1"/>
  <c r="B261" i="1" s="1"/>
  <c r="B270" i="1" s="1"/>
  <c r="B285" i="1" s="1"/>
  <c r="B292" i="1" s="1"/>
  <c r="E251" i="1"/>
  <c r="B251" i="1"/>
  <c r="B260" i="1" s="1"/>
  <c r="B269" i="1" s="1"/>
  <c r="B284" i="1" s="1"/>
  <c r="B291" i="1" s="1"/>
  <c r="D250" i="1"/>
  <c r="E250" i="1" s="1"/>
  <c r="B250" i="1"/>
  <c r="D249" i="1"/>
  <c r="D254" i="1" s="1"/>
  <c r="D256" i="1" s="1"/>
  <c r="C249" i="1"/>
  <c r="B249" i="1"/>
  <c r="B258" i="1" s="1"/>
  <c r="B267" i="1" s="1"/>
  <c r="B282" i="1" s="1"/>
  <c r="B289" i="1" s="1"/>
  <c r="E246" i="1"/>
  <c r="C245" i="1"/>
  <c r="C247" i="1" s="1"/>
  <c r="C244" i="1"/>
  <c r="C243" i="1"/>
  <c r="E242" i="1"/>
  <c r="E241" i="1"/>
  <c r="C241" i="1"/>
  <c r="D240" i="1"/>
  <c r="D245" i="1" s="1"/>
  <c r="D247" i="1" s="1"/>
  <c r="C240" i="1"/>
  <c r="E240" i="1" s="1"/>
  <c r="D237" i="1"/>
  <c r="C237" i="1"/>
  <c r="B236" i="1"/>
  <c r="B233" i="1"/>
  <c r="E207" i="1"/>
  <c r="C206" i="1"/>
  <c r="E203" i="1"/>
  <c r="E201" i="1"/>
  <c r="E200" i="1"/>
  <c r="E199" i="1"/>
  <c r="E198" i="1"/>
  <c r="E197" i="1"/>
  <c r="E196" i="1"/>
  <c r="E195" i="1"/>
  <c r="B191" i="1"/>
  <c r="E183" i="1"/>
  <c r="D183" i="1"/>
  <c r="C183" i="1"/>
  <c r="C184" i="1" s="1"/>
  <c r="D181" i="1"/>
  <c r="C181" i="1"/>
  <c r="D180" i="1"/>
  <c r="D178" i="1"/>
  <c r="B175" i="1"/>
  <c r="T166" i="1"/>
  <c r="C165" i="1"/>
  <c r="V165" i="1" s="1"/>
  <c r="E164" i="1"/>
  <c r="D164" i="1"/>
  <c r="C164" i="1"/>
  <c r="E163" i="1"/>
  <c r="E165" i="1" s="1"/>
  <c r="E167" i="1" s="1"/>
  <c r="D167" i="1" s="1"/>
  <c r="D163" i="1"/>
  <c r="D165" i="1" s="1"/>
  <c r="U166" i="1" s="1"/>
  <c r="C163" i="1"/>
  <c r="D162" i="1"/>
  <c r="C162" i="1"/>
  <c r="C178" i="1" s="1"/>
  <c r="B159" i="1"/>
  <c r="D150" i="1"/>
  <c r="D151" i="1" s="1"/>
  <c r="C150" i="1"/>
  <c r="C149" i="1"/>
  <c r="C151" i="1" s="1"/>
  <c r="D148" i="1"/>
  <c r="D206" i="1" s="1"/>
  <c r="C148" i="1"/>
  <c r="B146" i="1"/>
  <c r="D139" i="1"/>
  <c r="U140" i="1" s="1"/>
  <c r="C139" i="1"/>
  <c r="T140" i="1" s="1"/>
  <c r="D138" i="1"/>
  <c r="C138" i="1"/>
  <c r="E138" i="1" s="1"/>
  <c r="D137" i="1"/>
  <c r="C137" i="1"/>
  <c r="B134" i="1"/>
  <c r="B387" i="1" s="1"/>
  <c r="X125" i="1"/>
  <c r="D123" i="1"/>
  <c r="C123" i="1"/>
  <c r="D122" i="1"/>
  <c r="C122" i="1"/>
  <c r="E122" i="1" s="1"/>
  <c r="D121" i="1"/>
  <c r="C121" i="1"/>
  <c r="E121" i="1" s="1"/>
  <c r="E120" i="1"/>
  <c r="D120" i="1"/>
  <c r="C120" i="1"/>
  <c r="D119" i="1"/>
  <c r="E119" i="1" s="1"/>
  <c r="C119" i="1"/>
  <c r="D118" i="1"/>
  <c r="C118" i="1"/>
  <c r="E118" i="1" s="1"/>
  <c r="D117" i="1"/>
  <c r="C117" i="1"/>
  <c r="E117" i="1" s="1"/>
  <c r="E116" i="1"/>
  <c r="D116" i="1"/>
  <c r="D124" i="1" s="1"/>
  <c r="C116" i="1"/>
  <c r="D115" i="1"/>
  <c r="C115" i="1"/>
  <c r="B110" i="1"/>
  <c r="B14" i="1"/>
  <c r="U125" i="1" l="1"/>
  <c r="T125" i="1"/>
  <c r="W125" i="1"/>
  <c r="V125" i="1"/>
  <c r="U151" i="1"/>
  <c r="T151" i="1"/>
  <c r="S151" i="1"/>
  <c r="V151" i="1"/>
  <c r="E124" i="1"/>
  <c r="E126" i="1" s="1"/>
  <c r="D126" i="1" s="1"/>
  <c r="T152" i="1"/>
  <c r="S152" i="1"/>
  <c r="R152" i="1" s="1"/>
  <c r="V152" i="1"/>
  <c r="U152" i="1"/>
  <c r="B581" i="1"/>
  <c r="B529" i="1"/>
  <c r="B616" i="1"/>
  <c r="B568" i="1"/>
  <c r="B452" i="1"/>
  <c r="B436" i="1"/>
  <c r="B383" i="1"/>
  <c r="B628" i="1"/>
  <c r="B603" i="1"/>
  <c r="B551" i="1"/>
  <c r="B470" i="1"/>
  <c r="B485" i="1"/>
  <c r="B363" i="1"/>
  <c r="B314" i="1"/>
  <c r="B419" i="1"/>
  <c r="B167" i="1"/>
  <c r="B211" i="1"/>
  <c r="B186" i="1"/>
  <c r="C124" i="1"/>
  <c r="B126" i="1"/>
  <c r="E139" i="1"/>
  <c r="E140" i="1" s="1"/>
  <c r="E150" i="1"/>
  <c r="S165" i="1"/>
  <c r="R165" i="1" s="1"/>
  <c r="B160" i="1" s="1"/>
  <c r="D184" i="1"/>
  <c r="D179" i="1"/>
  <c r="C179" i="1"/>
  <c r="U184" i="1"/>
  <c r="E245" i="1"/>
  <c r="E247" i="1" s="1"/>
  <c r="E361" i="1"/>
  <c r="D438" i="1"/>
  <c r="T435" i="1"/>
  <c r="AB435" i="1"/>
  <c r="V435" i="1"/>
  <c r="U435" i="1"/>
  <c r="C390" i="1"/>
  <c r="C465" i="1"/>
  <c r="C413" i="1"/>
  <c r="C140" i="1"/>
  <c r="B142" i="1"/>
  <c r="E149" i="1"/>
  <c r="E151" i="1" s="1"/>
  <c r="E153" i="1" s="1"/>
  <c r="D153" i="1" s="1"/>
  <c r="S166" i="1"/>
  <c r="R166" i="1" s="1"/>
  <c r="V166" i="1"/>
  <c r="E181" i="1"/>
  <c r="C185" i="1"/>
  <c r="S382" i="1"/>
  <c r="V382" i="1"/>
  <c r="U382" i="1"/>
  <c r="T382" i="1"/>
  <c r="U418" i="1"/>
  <c r="S418" i="1"/>
  <c r="T418" i="1"/>
  <c r="V451" i="1"/>
  <c r="U451" i="1"/>
  <c r="T451" i="1"/>
  <c r="S451" i="1"/>
  <c r="W451" i="1"/>
  <c r="D451" i="1"/>
  <c r="D465" i="1"/>
  <c r="D413" i="1"/>
  <c r="D426" i="1" s="1"/>
  <c r="D390" i="1"/>
  <c r="D140" i="1"/>
  <c r="B153" i="1"/>
  <c r="U165" i="1"/>
  <c r="T165" i="1"/>
  <c r="C166" i="1"/>
  <c r="E204" i="1"/>
  <c r="C254" i="1"/>
  <c r="C256" i="1" s="1"/>
  <c r="C312" i="1"/>
  <c r="C297" i="1"/>
  <c r="U434" i="1"/>
  <c r="AB434" i="1"/>
  <c r="T434" i="1"/>
  <c r="R434" i="1" s="1"/>
  <c r="V434" i="1"/>
  <c r="T184" i="1"/>
  <c r="S184" i="1"/>
  <c r="D295" i="1"/>
  <c r="C310" i="1"/>
  <c r="T469" i="1"/>
  <c r="V469" i="1"/>
  <c r="U469" i="1"/>
  <c r="S469" i="1"/>
  <c r="D258" i="1"/>
  <c r="D263" i="1" s="1"/>
  <c r="D265" i="1" s="1"/>
  <c r="E267" i="1"/>
  <c r="E272" i="1" s="1"/>
  <c r="E274" i="1" s="1"/>
  <c r="D287" i="1"/>
  <c r="C577" i="1"/>
  <c r="E577" i="1" s="1"/>
  <c r="D361" i="1"/>
  <c r="T361" i="1"/>
  <c r="R361" i="1" s="1"/>
  <c r="C378" i="1"/>
  <c r="C417" i="1"/>
  <c r="C450" i="1"/>
  <c r="E446" i="1"/>
  <c r="E450" i="1" s="1"/>
  <c r="E452" i="1" s="1"/>
  <c r="D452" i="1" s="1"/>
  <c r="C466" i="1"/>
  <c r="E480" i="1"/>
  <c r="V480" i="1"/>
  <c r="V482" i="1"/>
  <c r="R485" i="1"/>
  <c r="C579" i="1"/>
  <c r="C580" i="1" s="1"/>
  <c r="C636" i="1"/>
  <c r="E601" i="1"/>
  <c r="E603" i="1" s="1"/>
  <c r="D603" i="1" s="1"/>
  <c r="C625" i="1"/>
  <c r="E249" i="1"/>
  <c r="E254" i="1" s="1"/>
  <c r="E256" i="1" s="1"/>
  <c r="E287" i="1"/>
  <c r="E289" i="1"/>
  <c r="E294" i="1" s="1"/>
  <c r="U361" i="1"/>
  <c r="E428" i="1"/>
  <c r="E434" i="1" s="1"/>
  <c r="E436" i="1" s="1"/>
  <c r="D436" i="1" s="1"/>
  <c r="E433" i="1"/>
  <c r="U481" i="1"/>
  <c r="R481" i="1" s="1"/>
  <c r="E481" i="1"/>
  <c r="V481" i="1"/>
  <c r="C483" i="1"/>
  <c r="E549" i="1"/>
  <c r="E551" i="1" s="1"/>
  <c r="D551" i="1" s="1"/>
  <c r="D579" i="1"/>
  <c r="D580" i="1" s="1"/>
  <c r="D651" i="1"/>
  <c r="S480" i="1"/>
  <c r="R480" i="1" s="1"/>
  <c r="S482" i="1"/>
  <c r="U492" i="1"/>
  <c r="T492" i="1"/>
  <c r="V492" i="1"/>
  <c r="C528" i="1"/>
  <c r="E529" i="1"/>
  <c r="D529" i="1" s="1"/>
  <c r="U480" i="1"/>
  <c r="E482" i="1"/>
  <c r="T482" i="1"/>
  <c r="U484" i="1"/>
  <c r="R484" i="1" s="1"/>
  <c r="T488" i="1"/>
  <c r="R488" i="1" s="1"/>
  <c r="W489" i="1"/>
  <c r="R489" i="1" s="1"/>
  <c r="U490" i="1"/>
  <c r="R490" i="1" s="1"/>
  <c r="E559" i="1"/>
  <c r="E561" i="1"/>
  <c r="E562" i="1"/>
  <c r="E563" i="1"/>
  <c r="E564" i="1"/>
  <c r="C601" i="1"/>
  <c r="C602" i="1" s="1"/>
  <c r="U488" i="1"/>
  <c r="V490" i="1"/>
  <c r="E517" i="1"/>
  <c r="E527" i="1" s="1"/>
  <c r="AA559" i="1"/>
  <c r="E576" i="1"/>
  <c r="E612" i="1"/>
  <c r="E614" i="1" s="1"/>
  <c r="E616" i="1" s="1"/>
  <c r="D616" i="1" s="1"/>
  <c r="C624" i="1"/>
  <c r="W490" i="1"/>
  <c r="D624" i="1"/>
  <c r="E142" i="1" l="1"/>
  <c r="D142" i="1" s="1"/>
  <c r="U141" i="1"/>
  <c r="E438" i="1"/>
  <c r="B488" i="1"/>
  <c r="U483" i="1"/>
  <c r="T483" i="1"/>
  <c r="C484" i="1"/>
  <c r="V483" i="1"/>
  <c r="S483" i="1"/>
  <c r="E483" i="1"/>
  <c r="E485" i="1" s="1"/>
  <c r="D485" i="1" s="1"/>
  <c r="C418" i="1"/>
  <c r="T417" i="1"/>
  <c r="V417" i="1"/>
  <c r="U417" i="1"/>
  <c r="R469" i="1"/>
  <c r="C435" i="1"/>
  <c r="R382" i="1"/>
  <c r="S140" i="1"/>
  <c r="R140" i="1" s="1"/>
  <c r="C141" i="1"/>
  <c r="R435" i="1"/>
  <c r="R151" i="1"/>
  <c r="B147" i="1" s="1"/>
  <c r="C626" i="1"/>
  <c r="E624" i="1"/>
  <c r="E626" i="1" s="1"/>
  <c r="E566" i="1"/>
  <c r="E568" i="1" s="1"/>
  <c r="D568" i="1" s="1"/>
  <c r="R492" i="1"/>
  <c r="B487" i="1" s="1"/>
  <c r="D625" i="1"/>
  <c r="E466" i="1"/>
  <c r="E468" i="1" s="1"/>
  <c r="E470" i="1" s="1"/>
  <c r="D470" i="1" s="1"/>
  <c r="C468" i="1"/>
  <c r="E378" i="1"/>
  <c r="E381" i="1" s="1"/>
  <c r="E383" i="1" s="1"/>
  <c r="D383" i="1" s="1"/>
  <c r="C381" i="1"/>
  <c r="D208" i="1"/>
  <c r="D209" i="1" s="1"/>
  <c r="E205" i="1"/>
  <c r="C208" i="1"/>
  <c r="R451" i="1"/>
  <c r="C426" i="1"/>
  <c r="B423" i="1" s="1"/>
  <c r="S185" i="1"/>
  <c r="U185" i="1"/>
  <c r="T185" i="1"/>
  <c r="R125" i="1"/>
  <c r="E625" i="1"/>
  <c r="D312" i="1"/>
  <c r="D297" i="1"/>
  <c r="D310" i="1" s="1"/>
  <c r="C438" i="1"/>
  <c r="T141" i="1"/>
  <c r="S141" i="1"/>
  <c r="E363" i="1"/>
  <c r="W124" i="1"/>
  <c r="V124" i="1"/>
  <c r="U124" i="1"/>
  <c r="C125" i="1"/>
  <c r="Y125" i="1" s="1"/>
  <c r="T124" i="1"/>
  <c r="D626" i="1"/>
  <c r="E579" i="1"/>
  <c r="E581" i="1" s="1"/>
  <c r="D581" i="1" s="1"/>
  <c r="R482" i="1"/>
  <c r="B476" i="1" s="1"/>
  <c r="E295" i="1"/>
  <c r="E297" i="1" s="1"/>
  <c r="W450" i="1"/>
  <c r="S450" i="1"/>
  <c r="C451" i="1"/>
  <c r="T450" i="1"/>
  <c r="V450" i="1"/>
  <c r="U450" i="1"/>
  <c r="S362" i="1"/>
  <c r="U362" i="1"/>
  <c r="T362" i="1"/>
  <c r="R184" i="1"/>
  <c r="E258" i="1"/>
  <c r="E263" i="1" s="1"/>
  <c r="E265" i="1" s="1"/>
  <c r="R418" i="1"/>
  <c r="B388" i="1"/>
  <c r="C180" i="1"/>
  <c r="E180" i="1" s="1"/>
  <c r="E179" i="1"/>
  <c r="E184" i="1"/>
  <c r="E186" i="1" s="1"/>
  <c r="D186" i="1" s="1"/>
  <c r="V627" i="1" l="1"/>
  <c r="U627" i="1"/>
  <c r="T627" i="1"/>
  <c r="S627" i="1"/>
  <c r="T210" i="1"/>
  <c r="S210" i="1"/>
  <c r="R210" i="1" s="1"/>
  <c r="D210" i="1"/>
  <c r="V210" i="1"/>
  <c r="U210" i="1"/>
  <c r="E628" i="1"/>
  <c r="D628" i="1" s="1"/>
  <c r="R483" i="1"/>
  <c r="E310" i="1"/>
  <c r="E312" i="1" s="1"/>
  <c r="E314" i="1" s="1"/>
  <c r="D314" i="1" s="1"/>
  <c r="R141" i="1"/>
  <c r="B135" i="1" s="1"/>
  <c r="V381" i="1"/>
  <c r="U381" i="1"/>
  <c r="T381" i="1"/>
  <c r="S381" i="1"/>
  <c r="R381" i="1" s="1"/>
  <c r="B374" i="1" s="1"/>
  <c r="S626" i="1"/>
  <c r="V626" i="1"/>
  <c r="U626" i="1"/>
  <c r="T626" i="1"/>
  <c r="R417" i="1"/>
  <c r="B411" i="1" s="1"/>
  <c r="R450" i="1"/>
  <c r="B443" i="1" s="1"/>
  <c r="V468" i="1"/>
  <c r="S468" i="1"/>
  <c r="R468" i="1" s="1"/>
  <c r="B462" i="1" s="1"/>
  <c r="C469" i="1"/>
  <c r="U468" i="1"/>
  <c r="T468" i="1"/>
  <c r="R362" i="1"/>
  <c r="B356" i="1" s="1"/>
  <c r="R124" i="1"/>
  <c r="B111" i="1" s="1"/>
  <c r="R185" i="1"/>
  <c r="B176" i="1" s="1"/>
  <c r="C209" i="1"/>
  <c r="E208" i="1"/>
  <c r="E209" i="1" s="1"/>
  <c r="E211" i="1" s="1"/>
  <c r="D211" i="1" s="1"/>
  <c r="C210" i="1" l="1"/>
  <c r="S209" i="1"/>
  <c r="V209" i="1"/>
  <c r="U209" i="1"/>
  <c r="T209" i="1"/>
  <c r="R627" i="1"/>
  <c r="R626" i="1"/>
  <c r="B621" i="1" s="1"/>
  <c r="R209" i="1" l="1"/>
  <c r="B192" i="1" s="1"/>
</calcChain>
</file>

<file path=xl/comments1.xml><?xml version="1.0" encoding="utf-8"?>
<comments xmlns="http://schemas.openxmlformats.org/spreadsheetml/2006/main">
  <authors>
    <author>JUAN J. SANCHEZ</author>
  </authors>
  <commentList>
    <comment ref="C379"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<sst xmlns="http://schemas.openxmlformats.org/spreadsheetml/2006/main" count="468" uniqueCount="419">
  <si>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</si>
  <si>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</si>
  <si>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</si>
  <si>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</si>
  <si>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</si>
  <si>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</si>
  <si>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</si>
  <si>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</si>
  <si>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</si>
  <si>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</si>
  <si>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</si>
  <si>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</si>
  <si>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</si>
  <si>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</si>
  <si>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Tecnica </t>
  </si>
  <si>
    <t xml:space="preserve">Jose Gregorio Henriquez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</si>
  <si>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</si>
  <si>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</si>
  <si>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</si>
  <si>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</si>
  <si>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</si>
  <si>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</si>
  <si>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</si>
  <si>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</si>
  <si>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</si>
  <si>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</si>
  <si>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</si>
  <si>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</si>
  <si>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</si>
  <si>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</si>
  <si>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</si>
  <si>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Garcia</t>
  </si>
  <si>
    <t>Enc. Presupuesto</t>
  </si>
  <si>
    <t>Alex Ureña Badía</t>
  </si>
  <si>
    <t>Enc. Planta La Dura</t>
  </si>
  <si>
    <t>Marleny de Jesus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</si>
  <si>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</si>
  <si>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</si>
  <si>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</si>
  <si>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</si>
  <si>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</si>
  <si>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</si>
  <si>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</si>
  <si>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</si>
  <si>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</si>
  <si>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</si>
  <si>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</si>
  <si>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</si>
  <si>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</si>
  <si>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</si>
  <si>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</si>
  <si>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</si>
  <si>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</si>
  <si>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</si>
  <si>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</si>
  <si>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</si>
  <si>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</si>
  <si>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</si>
  <si>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</si>
  <si>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</si>
  <si>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</si>
  <si>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</si>
  <si>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</si>
  <si>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</si>
  <si>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</si>
  <si>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</si>
  <si>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</si>
  <si>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</si>
  <si>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</si>
  <si>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</si>
  <si>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</si>
  <si>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</si>
  <si>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</si>
  <si>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</si>
  <si>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</si>
  <si>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</si>
  <si>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</si>
  <si>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</si>
  <si>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</si>
  <si>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</si>
  <si>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</si>
  <si>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</si>
  <si>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</si>
  <si>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</si>
  <si>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</si>
  <si>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</si>
  <si>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</si>
  <si>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</si>
  <si>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</si>
  <si>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</si>
  <si>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</si>
  <si>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</si>
  <si>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institucion hay seis caja chica , una para compras por valor de RD$80,000.00 y una para compras en la planta la dura por valor de RD$10,000.00, una para menudo por valor de RD$5,000.00 y tres en los centros de sercicios a clientes de Cayetano Germocen, Gaspar Hernandez y Veragua por valor de RD$5,000.00 cada uno.</t>
  </si>
  <si>
    <t>Hay dos cuentas en el sigef y tres cuentas instirucional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</si>
  <si>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</si>
  <si>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</si>
  <si>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</si>
  <si>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</si>
  <si>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</si>
  <si>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</si>
  <si>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</si>
  <si>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</si>
  <si>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</si>
  <si>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</si>
  <si>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</si>
  <si>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</si>
  <si>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</si>
  <si>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</si>
  <si>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</si>
  <si>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</si>
  <si>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</si>
  <si>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</si>
  <si>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</si>
  <si>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</si>
  <si>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</si>
  <si>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</si>
  <si>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</si>
  <si>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</si>
  <si>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</si>
  <si>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</si>
  <si>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</si>
  <si>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</si>
  <si>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</si>
  <si>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</si>
  <si>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</si>
  <si>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consimido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</si>
  <si>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</si>
  <si>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</si>
  <si>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</si>
  <si>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</si>
  <si>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</si>
  <si>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</si>
  <si>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</si>
  <si>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</si>
  <si>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</si>
  <si>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</si>
  <si>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</si>
  <si>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</si>
  <si>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</si>
  <si>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</si>
  <si>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</si>
  <si>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</si>
  <si>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</si>
  <si>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</si>
  <si>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</si>
  <si>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</si>
  <si>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</si>
  <si>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</si>
  <si>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</si>
  <si>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</si>
  <si>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</si>
  <si>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</si>
  <si>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</si>
  <si>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</si>
  <si>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</si>
  <si>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</si>
  <si>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</si>
  <si>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</si>
  <si>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</si>
  <si>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</si>
  <si>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</si>
  <si>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</si>
  <si>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</si>
  <si>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</si>
  <si>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</si>
  <si>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</si>
  <si>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</si>
  <si>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</si>
  <si>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</si>
  <si>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</si>
  <si>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</si>
  <si>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</si>
  <si>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</si>
  <si>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</si>
  <si>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</si>
  <si>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</si>
  <si>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</si>
  <si>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</si>
  <si>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</si>
  <si>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</si>
  <si>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</si>
  <si>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</si>
  <si>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</si>
  <si>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</si>
  <si>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</si>
  <si>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</si>
  <si>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</si>
  <si>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</si>
  <si>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</si>
  <si>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</si>
  <si>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</si>
  <si>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</si>
  <si>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</si>
  <si>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</si>
  <si>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</si>
  <si>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</si>
  <si>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</si>
  <si>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</si>
  <si>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</si>
  <si>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</si>
  <si>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</si>
  <si>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</si>
  <si>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</si>
  <si>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</si>
  <si>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</si>
  <si>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</si>
  <si>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</si>
  <si>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</si>
  <si>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</si>
  <si>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</si>
  <si>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informaticos (1 año)</t>
  </si>
  <si>
    <t>Amortizacion Programa informaticos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</si>
  <si>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</si>
  <si>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</si>
  <si>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</si>
  <si>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</si>
  <si>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</si>
  <si>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</si>
  <si>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</si>
  <si>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</si>
  <si>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</si>
  <si>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</si>
  <si>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</si>
  <si>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</si>
  <si>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</si>
  <si>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</si>
  <si>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</si>
  <si>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</si>
  <si>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</si>
  <si>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</si>
  <si>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</si>
  <si>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</si>
  <si>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</si>
  <si>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</si>
  <si>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</si>
  <si>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</si>
  <si>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</si>
  <si>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</si>
  <si>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</si>
  <si>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</si>
  <si>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</si>
  <si>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</si>
  <si>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</si>
  <si>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</si>
  <si>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</si>
  <si>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</si>
  <si>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</si>
  <si>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</si>
  <si>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</si>
  <si>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</si>
  <si>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</si>
  <si>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</si>
  <si>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</si>
  <si>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</si>
  <si>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</si>
  <si>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</si>
  <si>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Ingresos recibidos por certificado financieros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</si>
  <si>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</si>
  <si>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</si>
  <si>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</si>
  <si>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</si>
  <si>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</si>
  <si>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</si>
  <si>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</si>
  <si>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</si>
  <si>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</si>
  <si>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</si>
  <si>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</si>
  <si>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</si>
  <si>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</si>
  <si>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</si>
  <si>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</si>
  <si>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</si>
  <si>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</si>
  <si>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</si>
  <si>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</si>
  <si>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</si>
  <si>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</si>
  <si>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</si>
  <si>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</si>
  <si>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</si>
  <si>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</si>
  <si>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</si>
  <si>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</si>
  <si>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</si>
  <si>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</si>
  <si>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</si>
  <si>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</si>
  <si>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</si>
  <si>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</si>
  <si>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</si>
  <si>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</si>
  <si>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</si>
  <si>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</si>
  <si>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</si>
  <si>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</si>
  <si>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</si>
  <si>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</si>
  <si>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</si>
  <si>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</si>
  <si>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</si>
  <si>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</si>
  <si>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</si>
  <si>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</si>
  <si>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</si>
  <si>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</si>
  <si>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</si>
  <si>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</si>
  <si>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</si>
  <si>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</si>
  <si>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</si>
  <si>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 xml:space="preserve">Total </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</si>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</sst>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9"/>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2">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43" fontId="3" fillId="0" borderId="0" xfId="1"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4" fontId="14"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43" fontId="3" fillId="0" borderId="0" xfId="0" applyNumberFormat="1" applyFont="1"/>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5"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6"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127</xdr:row>
      <xdr:rowOff>19050</xdr:rowOff>
    </xdr:from>
    <xdr:to>
      <xdr:col>5</xdr:col>
      <xdr:colOff>0</xdr:colOff>
      <xdr:row>130</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168</xdr:row>
      <xdr:rowOff>123825</xdr:rowOff>
    </xdr:from>
    <xdr:to>
      <xdr:col>5</xdr:col>
      <xdr:colOff>0</xdr:colOff>
      <xdr:row>171</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88346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226</xdr:row>
      <xdr:rowOff>95250</xdr:rowOff>
    </xdr:from>
    <xdr:to>
      <xdr:col>5</xdr:col>
      <xdr:colOff>0</xdr:colOff>
      <xdr:row>229</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97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402</xdr:row>
      <xdr:rowOff>66675</xdr:rowOff>
    </xdr:from>
    <xdr:to>
      <xdr:col>5</xdr:col>
      <xdr:colOff>0</xdr:colOff>
      <xdr:row>405</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4860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454</xdr:row>
      <xdr:rowOff>76200</xdr:rowOff>
    </xdr:from>
    <xdr:to>
      <xdr:col>5</xdr:col>
      <xdr:colOff>0</xdr:colOff>
      <xdr:row>456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5158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492</xdr:row>
      <xdr:rowOff>85725</xdr:rowOff>
    </xdr:from>
    <xdr:to>
      <xdr:col>5</xdr:col>
      <xdr:colOff>0</xdr:colOff>
      <xdr:row>495</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7420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537</xdr:row>
      <xdr:rowOff>57150</xdr:rowOff>
    </xdr:from>
    <xdr:to>
      <xdr:col>5</xdr:col>
      <xdr:colOff>0</xdr:colOff>
      <xdr:row>540</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0611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584</xdr:row>
      <xdr:rowOff>104775</xdr:rowOff>
    </xdr:from>
    <xdr:to>
      <xdr:col>5</xdr:col>
      <xdr:colOff>0</xdr:colOff>
      <xdr:row>586</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0338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348</xdr:row>
      <xdr:rowOff>133350</xdr:rowOff>
    </xdr:from>
    <xdr:to>
      <xdr:col>5</xdr:col>
      <xdr:colOff>0</xdr:colOff>
      <xdr:row>351</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562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630</xdr:row>
      <xdr:rowOff>57150</xdr:rowOff>
    </xdr:from>
    <xdr:to>
      <xdr:col>5</xdr:col>
      <xdr:colOff>0</xdr:colOff>
      <xdr:row>633</xdr:row>
      <xdr:rowOff>123825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8921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315</xdr:row>
      <xdr:rowOff>142875</xdr:rowOff>
    </xdr:from>
    <xdr:to>
      <xdr:col>5</xdr:col>
      <xdr:colOff>0</xdr:colOff>
      <xdr:row>342</xdr:row>
      <xdr:rowOff>152400</xdr:rowOff>
    </xdr:to>
    <xdr:pic>
      <xdr:nvPicPr>
        <xdr:cNvPr id="16" name="18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2236350"/>
          <a:ext cx="6391275" cy="515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11%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indce"/>
      <sheetName val="DE"/>
      <sheetName val="Pres A"/>
      <sheetName val="25A"/>
      <sheetName val="Mat"/>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row r="3">
          <cell r="B3" t="str">
            <v>30 de Noviembre del 2024</v>
          </cell>
          <cell r="C3" t="str">
            <v>- 2023</v>
          </cell>
        </row>
        <row r="4">
          <cell r="B4">
            <v>2024</v>
          </cell>
          <cell r="C4">
            <v>2023</v>
          </cell>
        </row>
        <row r="21">
          <cell r="B21" t="str">
            <v>CUENTA  9604127870</v>
          </cell>
          <cell r="C21">
            <v>1454948.77</v>
          </cell>
        </row>
      </sheetData>
      <sheetData sheetId="2">
        <row r="12">
          <cell r="C12">
            <v>0</v>
          </cell>
          <cell r="D12">
            <v>0</v>
          </cell>
        </row>
        <row r="13">
          <cell r="C13">
            <v>110000</v>
          </cell>
          <cell r="D13">
            <v>110000</v>
          </cell>
        </row>
        <row r="15">
          <cell r="C15">
            <v>80000</v>
          </cell>
          <cell r="D15">
            <v>80000</v>
          </cell>
        </row>
        <row r="22">
          <cell r="C22">
            <v>0</v>
          </cell>
          <cell r="D22">
            <v>0</v>
          </cell>
        </row>
        <row r="23">
          <cell r="C23">
            <v>274133.45</v>
          </cell>
          <cell r="D23">
            <v>271650.45</v>
          </cell>
        </row>
        <row r="24">
          <cell r="C24">
            <v>963874.72</v>
          </cell>
          <cell r="D24">
            <v>38274754.43</v>
          </cell>
        </row>
        <row r="25">
          <cell r="C25">
            <v>935689.72</v>
          </cell>
          <cell r="D25">
            <v>1505395.67</v>
          </cell>
        </row>
        <row r="26">
          <cell r="C26">
            <v>1454948.77</v>
          </cell>
          <cell r="D26">
            <v>1016617.28</v>
          </cell>
        </row>
        <row r="27">
          <cell r="C27">
            <v>318557367.86000001</v>
          </cell>
          <cell r="D27">
            <v>157571535.74000001</v>
          </cell>
        </row>
        <row r="28">
          <cell r="C28">
            <v>0</v>
          </cell>
          <cell r="D28">
            <v>0</v>
          </cell>
        </row>
        <row r="30">
          <cell r="C30">
            <v>0</v>
          </cell>
          <cell r="D30">
            <v>453000</v>
          </cell>
        </row>
        <row r="34">
          <cell r="C34">
            <v>1350.12</v>
          </cell>
          <cell r="D34">
            <v>13209579</v>
          </cell>
        </row>
        <row r="35">
          <cell r="C35">
            <v>1350.12</v>
          </cell>
        </row>
        <row r="40">
          <cell r="C40">
            <v>0</v>
          </cell>
          <cell r="D40">
            <v>0</v>
          </cell>
        </row>
        <row r="41">
          <cell r="C41">
            <v>35841427.399999999</v>
          </cell>
          <cell r="D41">
            <v>23878010</v>
          </cell>
        </row>
        <row r="48">
          <cell r="C48">
            <v>469229.72</v>
          </cell>
          <cell r="D48">
            <v>373212.74</v>
          </cell>
        </row>
        <row r="55">
          <cell r="C55">
            <v>1623675</v>
          </cell>
          <cell r="D55">
            <v>1623675</v>
          </cell>
          <cell r="F55">
            <v>1623675</v>
          </cell>
        </row>
        <row r="57">
          <cell r="J57">
            <v>0</v>
          </cell>
        </row>
        <row r="58">
          <cell r="C58">
            <v>953149176.46000004</v>
          </cell>
          <cell r="D58">
            <v>953149176.46000004</v>
          </cell>
        </row>
        <row r="59">
          <cell r="C59">
            <v>4149647.32</v>
          </cell>
          <cell r="D59">
            <v>3620347.32</v>
          </cell>
        </row>
        <row r="62">
          <cell r="C62">
            <v>52883325.560000002</v>
          </cell>
          <cell r="D62">
            <v>48572302.979999997</v>
          </cell>
          <cell r="F62">
            <v>38171024.979999997</v>
          </cell>
        </row>
        <row r="63">
          <cell r="C63">
            <v>10179245.880000001</v>
          </cell>
          <cell r="D63">
            <v>10165018.76</v>
          </cell>
        </row>
        <row r="66">
          <cell r="C66">
            <v>578847</v>
          </cell>
          <cell r="D66">
            <v>396650</v>
          </cell>
          <cell r="F66">
            <v>74900</v>
          </cell>
        </row>
        <row r="67">
          <cell r="C67">
            <v>5837722.9500000002</v>
          </cell>
          <cell r="D67">
            <v>5459449.0700000003</v>
          </cell>
        </row>
        <row r="69">
          <cell r="C69">
            <v>175165.5</v>
          </cell>
          <cell r="D69">
            <v>175165.5</v>
          </cell>
        </row>
        <row r="70">
          <cell r="C70">
            <v>24266945.620000001</v>
          </cell>
          <cell r="D70">
            <v>24188290.620000001</v>
          </cell>
        </row>
        <row r="73">
          <cell r="C73">
            <v>932591.88</v>
          </cell>
        </row>
        <row r="83">
          <cell r="C83">
            <v>175165.5</v>
          </cell>
          <cell r="D83">
            <v>14597.08</v>
          </cell>
        </row>
        <row r="87">
          <cell r="C87">
            <v>0</v>
          </cell>
          <cell r="D87">
            <v>0</v>
          </cell>
        </row>
        <row r="88">
          <cell r="C88">
            <v>3605.1</v>
          </cell>
          <cell r="D88">
            <v>6174.31</v>
          </cell>
        </row>
        <row r="89">
          <cell r="C89">
            <v>0</v>
          </cell>
          <cell r="D89">
            <v>0</v>
          </cell>
        </row>
        <row r="90">
          <cell r="C90">
            <v>172.63</v>
          </cell>
          <cell r="D90">
            <v>0</v>
          </cell>
        </row>
        <row r="91">
          <cell r="C91">
            <v>0</v>
          </cell>
          <cell r="D91">
            <v>95474.43</v>
          </cell>
        </row>
        <row r="92">
          <cell r="C92">
            <v>0.01</v>
          </cell>
          <cell r="D92">
            <v>54758.709999999992</v>
          </cell>
        </row>
        <row r="93">
          <cell r="C93">
            <v>0</v>
          </cell>
          <cell r="D93">
            <v>0</v>
          </cell>
        </row>
        <row r="94">
          <cell r="C94">
            <v>245647.9</v>
          </cell>
          <cell r="D94">
            <v>424122.01</v>
          </cell>
        </row>
        <row r="97">
          <cell r="C97">
            <v>0</v>
          </cell>
          <cell r="D97">
            <v>0</v>
          </cell>
        </row>
        <row r="98">
          <cell r="C98">
            <v>0</v>
          </cell>
          <cell r="D98">
            <v>0</v>
          </cell>
        </row>
        <row r="100">
          <cell r="C100">
            <v>23880907.420000002</v>
          </cell>
          <cell r="D100">
            <v>8832915.8499999996</v>
          </cell>
        </row>
        <row r="101">
          <cell r="C101">
            <v>7106.65</v>
          </cell>
          <cell r="D101">
            <v>7106.65</v>
          </cell>
        </row>
        <row r="102">
          <cell r="C102">
            <v>1436011.51</v>
          </cell>
          <cell r="D102">
            <v>1436011.51</v>
          </cell>
        </row>
        <row r="107">
          <cell r="C107">
            <v>252299.3</v>
          </cell>
          <cell r="D107">
            <v>252299.3</v>
          </cell>
        </row>
        <row r="108">
          <cell r="C108">
            <v>0</v>
          </cell>
          <cell r="D108">
            <v>0</v>
          </cell>
        </row>
        <row r="111">
          <cell r="C111">
            <v>0</v>
          </cell>
          <cell r="D111">
            <v>0</v>
          </cell>
        </row>
        <row r="120">
          <cell r="C120">
            <v>808793054.60000002</v>
          </cell>
          <cell r="D120">
            <v>808793054.60000002</v>
          </cell>
        </row>
        <row r="128">
          <cell r="C128">
            <v>164909316.59999999</v>
          </cell>
          <cell r="D128">
            <v>180816067.19999999</v>
          </cell>
        </row>
        <row r="140">
          <cell r="C140">
            <v>0</v>
          </cell>
        </row>
        <row r="144">
          <cell r="C144">
            <v>47918009</v>
          </cell>
        </row>
        <row r="145">
          <cell r="C145">
            <v>118200000</v>
          </cell>
        </row>
        <row r="146">
          <cell r="C146">
            <v>50915179.369999997</v>
          </cell>
        </row>
        <row r="153">
          <cell r="C153">
            <v>134835034</v>
          </cell>
          <cell r="D153">
            <v>149428043</v>
          </cell>
        </row>
        <row r="154">
          <cell r="C154">
            <v>0</v>
          </cell>
          <cell r="D154">
            <v>0</v>
          </cell>
        </row>
        <row r="155">
          <cell r="C155">
            <v>0</v>
          </cell>
          <cell r="D155">
            <v>0</v>
          </cell>
        </row>
        <row r="156">
          <cell r="C156">
            <v>0</v>
          </cell>
          <cell r="D156">
            <v>0</v>
          </cell>
        </row>
        <row r="157">
          <cell r="C157">
            <v>0</v>
          </cell>
          <cell r="D157">
            <v>0</v>
          </cell>
        </row>
        <row r="158">
          <cell r="C158">
            <v>0</v>
          </cell>
          <cell r="D158">
            <v>0</v>
          </cell>
        </row>
        <row r="159">
          <cell r="C159">
            <v>193520.16</v>
          </cell>
          <cell r="D159">
            <v>207859.15</v>
          </cell>
        </row>
        <row r="160">
          <cell r="C160">
            <v>1188385</v>
          </cell>
          <cell r="D160">
            <v>1266293.75</v>
          </cell>
        </row>
        <row r="161">
          <cell r="C161">
            <v>6186100</v>
          </cell>
          <cell r="D161">
            <v>6557004.2800000003</v>
          </cell>
        </row>
        <row r="162">
          <cell r="C162">
            <v>0</v>
          </cell>
          <cell r="D162">
            <v>0</v>
          </cell>
        </row>
        <row r="163">
          <cell r="C163">
            <v>0</v>
          </cell>
          <cell r="D163">
            <v>0</v>
          </cell>
        </row>
        <row r="164">
          <cell r="C164">
            <v>0</v>
          </cell>
          <cell r="D164">
            <v>0</v>
          </cell>
        </row>
        <row r="165">
          <cell r="C165">
            <v>1715.66</v>
          </cell>
          <cell r="D165">
            <v>794.4</v>
          </cell>
        </row>
        <row r="167">
          <cell r="C167">
            <v>0</v>
          </cell>
          <cell r="D167">
            <v>0</v>
          </cell>
        </row>
        <row r="168">
          <cell r="C168">
            <v>2755000</v>
          </cell>
          <cell r="D168">
            <v>2580000</v>
          </cell>
        </row>
        <row r="169">
          <cell r="C169">
            <v>0</v>
          </cell>
          <cell r="D169">
            <v>0</v>
          </cell>
        </row>
        <row r="170">
          <cell r="C170">
            <v>0</v>
          </cell>
          <cell r="D170">
            <v>0</v>
          </cell>
        </row>
        <row r="171">
          <cell r="C171">
            <v>0</v>
          </cell>
          <cell r="D171">
            <v>0</v>
          </cell>
        </row>
        <row r="173">
          <cell r="C173">
            <v>0</v>
          </cell>
          <cell r="D173">
            <v>12374295.220000001</v>
          </cell>
        </row>
        <row r="174">
          <cell r="C174">
            <v>0</v>
          </cell>
          <cell r="D174">
            <v>0</v>
          </cell>
        </row>
        <row r="175">
          <cell r="C175">
            <v>0</v>
          </cell>
          <cell r="D175">
            <v>0</v>
          </cell>
        </row>
        <row r="178">
          <cell r="C178">
            <v>9592120.5199999996</v>
          </cell>
          <cell r="D178">
            <v>10582363.359999999</v>
          </cell>
        </row>
        <row r="179">
          <cell r="C179">
            <v>8227878.4299999997</v>
          </cell>
          <cell r="D179">
            <v>10614032.710000001</v>
          </cell>
        </row>
        <row r="180">
          <cell r="C180">
            <v>2985648.73</v>
          </cell>
          <cell r="D180">
            <v>1774503.18</v>
          </cell>
        </row>
        <row r="186">
          <cell r="C186">
            <v>256900</v>
          </cell>
          <cell r="D186">
            <v>189211.5</v>
          </cell>
        </row>
        <row r="187">
          <cell r="C187">
            <v>0</v>
          </cell>
          <cell r="D187">
            <v>4917.5</v>
          </cell>
        </row>
        <row r="191">
          <cell r="C191">
            <v>878000</v>
          </cell>
          <cell r="D191">
            <v>652775</v>
          </cell>
        </row>
        <row r="192">
          <cell r="C192">
            <v>1600151.96</v>
          </cell>
          <cell r="D192">
            <v>1430007.26</v>
          </cell>
        </row>
        <row r="193">
          <cell r="C193">
            <v>706613.63</v>
          </cell>
          <cell r="D193">
            <v>1058072.45</v>
          </cell>
        </row>
        <row r="194">
          <cell r="C194">
            <v>0</v>
          </cell>
          <cell r="D194">
            <v>0</v>
          </cell>
        </row>
        <row r="195">
          <cell r="C195">
            <v>341174.55</v>
          </cell>
          <cell r="D195">
            <v>368449.57</v>
          </cell>
        </row>
        <row r="196">
          <cell r="C196">
            <v>57277053.770000003</v>
          </cell>
          <cell r="D196">
            <v>58090474.640000001</v>
          </cell>
        </row>
        <row r="197">
          <cell r="C197">
            <v>345465.68</v>
          </cell>
          <cell r="D197">
            <v>574721.78</v>
          </cell>
        </row>
        <row r="198">
          <cell r="C198">
            <v>103047.66</v>
          </cell>
        </row>
        <row r="199">
          <cell r="C199">
            <v>772530</v>
          </cell>
          <cell r="D199">
            <v>1276469.5</v>
          </cell>
        </row>
        <row r="200">
          <cell r="C200">
            <v>679954.1</v>
          </cell>
          <cell r="D200">
            <v>158625.20000000001</v>
          </cell>
        </row>
        <row r="201">
          <cell r="C201">
            <v>0</v>
          </cell>
          <cell r="D201">
            <v>0</v>
          </cell>
        </row>
        <row r="202">
          <cell r="C202">
            <v>0</v>
          </cell>
          <cell r="D202">
            <v>0</v>
          </cell>
        </row>
        <row r="203">
          <cell r="C203">
            <v>0</v>
          </cell>
          <cell r="D203">
            <v>1300</v>
          </cell>
        </row>
        <row r="204">
          <cell r="C204">
            <v>175</v>
          </cell>
          <cell r="D204">
            <v>0</v>
          </cell>
        </row>
        <row r="205">
          <cell r="C205">
            <v>0</v>
          </cell>
          <cell r="D205">
            <v>0</v>
          </cell>
        </row>
        <row r="207">
          <cell r="C207">
            <v>1223494.5</v>
          </cell>
          <cell r="D207">
            <v>2215371.86</v>
          </cell>
        </row>
        <row r="208">
          <cell r="C208">
            <v>62614.5</v>
          </cell>
          <cell r="D208">
            <v>295744.3</v>
          </cell>
        </row>
        <row r="209">
          <cell r="C209">
            <v>0</v>
          </cell>
          <cell r="D209">
            <v>0</v>
          </cell>
        </row>
        <row r="210">
          <cell r="C210">
            <v>292500</v>
          </cell>
          <cell r="D210">
            <v>317000</v>
          </cell>
        </row>
        <row r="211">
          <cell r="C211">
            <v>1192000</v>
          </cell>
          <cell r="D211">
            <v>490880</v>
          </cell>
        </row>
        <row r="212">
          <cell r="C212">
            <v>0</v>
          </cell>
          <cell r="D212">
            <v>0</v>
          </cell>
        </row>
        <row r="213">
          <cell r="C213">
            <v>170699.58</v>
          </cell>
        </row>
        <row r="214">
          <cell r="C214">
            <v>475059.52</v>
          </cell>
          <cell r="D214">
            <v>403137.05</v>
          </cell>
        </row>
        <row r="215">
          <cell r="C215">
            <v>135144.72</v>
          </cell>
          <cell r="D215">
            <v>90096.48</v>
          </cell>
        </row>
        <row r="217">
          <cell r="C217">
            <v>1494232.69</v>
          </cell>
          <cell r="D217">
            <v>0</v>
          </cell>
        </row>
        <row r="218">
          <cell r="C218">
            <v>5000</v>
          </cell>
          <cell r="D218">
            <v>14650</v>
          </cell>
        </row>
        <row r="219">
          <cell r="C219">
            <v>-11348656.880000001</v>
          </cell>
          <cell r="D219">
            <v>0</v>
          </cell>
        </row>
        <row r="220">
          <cell r="C220">
            <v>0</v>
          </cell>
          <cell r="D220">
            <v>0</v>
          </cell>
        </row>
        <row r="221">
          <cell r="C221">
            <v>0</v>
          </cell>
          <cell r="D221">
            <v>0</v>
          </cell>
        </row>
        <row r="222">
          <cell r="C222">
            <v>278895.28999999998</v>
          </cell>
          <cell r="D222">
            <v>509632.25</v>
          </cell>
        </row>
        <row r="223">
          <cell r="C223">
            <v>4162.24</v>
          </cell>
          <cell r="D223">
            <v>3370</v>
          </cell>
        </row>
        <row r="224">
          <cell r="C224">
            <v>15500</v>
          </cell>
          <cell r="D224">
            <v>0</v>
          </cell>
        </row>
        <row r="225">
          <cell r="C225">
            <v>0</v>
          </cell>
          <cell r="D225">
            <v>0</v>
          </cell>
        </row>
        <row r="226">
          <cell r="C226">
            <v>0</v>
          </cell>
          <cell r="D226">
            <v>215</v>
          </cell>
        </row>
        <row r="227">
          <cell r="C227">
            <v>1920320.51</v>
          </cell>
          <cell r="D227">
            <v>1171682.69</v>
          </cell>
        </row>
        <row r="228">
          <cell r="C228">
            <v>220000</v>
          </cell>
          <cell r="D228">
            <v>430700</v>
          </cell>
        </row>
        <row r="229">
          <cell r="C229">
            <v>6872.95</v>
          </cell>
          <cell r="D229">
            <v>20180.25</v>
          </cell>
        </row>
        <row r="230">
          <cell r="C230">
            <v>18507.150000000001</v>
          </cell>
          <cell r="D230">
            <v>18953.13</v>
          </cell>
        </row>
        <row r="231">
          <cell r="C231">
            <v>0</v>
          </cell>
          <cell r="D231">
            <v>0</v>
          </cell>
        </row>
        <row r="233">
          <cell r="C233">
            <v>0</v>
          </cell>
          <cell r="D233">
            <v>0</v>
          </cell>
        </row>
        <row r="234">
          <cell r="C234">
            <v>140067.79</v>
          </cell>
          <cell r="D234">
            <v>0</v>
          </cell>
        </row>
        <row r="235">
          <cell r="C235">
            <v>694598.84</v>
          </cell>
          <cell r="D235">
            <v>746207.89</v>
          </cell>
        </row>
        <row r="236">
          <cell r="C236">
            <v>25915.84</v>
          </cell>
          <cell r="D236">
            <v>58070</v>
          </cell>
        </row>
        <row r="237">
          <cell r="C237">
            <v>0</v>
          </cell>
          <cell r="D237">
            <v>0</v>
          </cell>
        </row>
        <row r="238">
          <cell r="C238">
            <v>223728.81</v>
          </cell>
          <cell r="D238">
            <v>911694.92</v>
          </cell>
        </row>
        <row r="239">
          <cell r="C239">
            <v>521700</v>
          </cell>
          <cell r="D239">
            <v>431554.45</v>
          </cell>
        </row>
        <row r="240">
          <cell r="C240">
            <v>5327987.22</v>
          </cell>
          <cell r="D240">
            <v>7349859.8600000003</v>
          </cell>
        </row>
        <row r="241">
          <cell r="C241">
            <v>0</v>
          </cell>
          <cell r="D241">
            <v>0</v>
          </cell>
        </row>
        <row r="246">
          <cell r="C246">
            <v>532975.86</v>
          </cell>
          <cell r="D246">
            <v>930598.16</v>
          </cell>
        </row>
        <row r="248">
          <cell r="C248">
            <v>273767.25</v>
          </cell>
          <cell r="D248">
            <v>411396.45</v>
          </cell>
        </row>
        <row r="249">
          <cell r="C249">
            <v>0</v>
          </cell>
          <cell r="D249">
            <v>0</v>
          </cell>
        </row>
        <row r="250">
          <cell r="C250">
            <v>0</v>
          </cell>
          <cell r="D250">
            <v>626856.94999999995</v>
          </cell>
        </row>
        <row r="251">
          <cell r="C251">
            <v>0</v>
          </cell>
          <cell r="D251">
            <v>81000</v>
          </cell>
        </row>
        <row r="252">
          <cell r="C252">
            <v>122606.55</v>
          </cell>
          <cell r="D252">
            <v>744907.05</v>
          </cell>
        </row>
        <row r="253">
          <cell r="C253">
            <v>204450</v>
          </cell>
          <cell r="D253">
            <v>0</v>
          </cell>
        </row>
        <row r="254">
          <cell r="C254">
            <v>149551</v>
          </cell>
          <cell r="D254">
            <v>169002.59</v>
          </cell>
        </row>
        <row r="256">
          <cell r="C256">
            <v>5605300</v>
          </cell>
          <cell r="D256">
            <v>5615150</v>
          </cell>
        </row>
        <row r="257">
          <cell r="C257">
            <v>2730140</v>
          </cell>
          <cell r="D257">
            <v>3499250</v>
          </cell>
        </row>
        <row r="258">
          <cell r="C258">
            <v>0</v>
          </cell>
          <cell r="D258">
            <v>1610</v>
          </cell>
        </row>
        <row r="259">
          <cell r="C259">
            <v>126124</v>
          </cell>
          <cell r="D259">
            <v>315568</v>
          </cell>
        </row>
        <row r="260">
          <cell r="C260">
            <v>4185697.96</v>
          </cell>
          <cell r="D260">
            <v>5679825.3499999996</v>
          </cell>
        </row>
        <row r="261">
          <cell r="C261">
            <v>0</v>
          </cell>
          <cell r="D261">
            <v>1812713.22</v>
          </cell>
        </row>
        <row r="262">
          <cell r="C262">
            <v>9805</v>
          </cell>
          <cell r="D262">
            <v>15292</v>
          </cell>
        </row>
        <row r="263">
          <cell r="C263">
            <v>0</v>
          </cell>
          <cell r="D263">
            <v>540059.31999999995</v>
          </cell>
        </row>
        <row r="265">
          <cell r="C265">
            <v>123855.43</v>
          </cell>
          <cell r="D265">
            <v>139210.54999999999</v>
          </cell>
        </row>
        <row r="266">
          <cell r="C266">
            <v>132266.97</v>
          </cell>
          <cell r="D266">
            <v>200704.1</v>
          </cell>
        </row>
        <row r="267">
          <cell r="C267">
            <v>117454.28</v>
          </cell>
          <cell r="D267">
            <v>243936.25</v>
          </cell>
        </row>
        <row r="268">
          <cell r="C268">
            <v>12335.93</v>
          </cell>
          <cell r="D268">
            <v>25611.4</v>
          </cell>
        </row>
        <row r="269">
          <cell r="C269">
            <v>702885.65</v>
          </cell>
          <cell r="D269">
            <v>590058.01</v>
          </cell>
        </row>
        <row r="270">
          <cell r="C270">
            <v>576775</v>
          </cell>
          <cell r="D270">
            <v>411054</v>
          </cell>
        </row>
        <row r="271">
          <cell r="C271">
            <v>41394.93</v>
          </cell>
          <cell r="D271">
            <v>39658.51</v>
          </cell>
        </row>
        <row r="272">
          <cell r="C272">
            <v>0</v>
          </cell>
          <cell r="D272">
            <v>16500</v>
          </cell>
        </row>
        <row r="273">
          <cell r="C273">
            <v>5692500</v>
          </cell>
          <cell r="D273">
            <v>6068538.6200000001</v>
          </cell>
        </row>
        <row r="274">
          <cell r="C274">
            <v>0</v>
          </cell>
          <cell r="D274">
            <v>14268.2</v>
          </cell>
        </row>
        <row r="275">
          <cell r="C275">
            <v>30297.37</v>
          </cell>
          <cell r="D275">
            <v>32661.42</v>
          </cell>
        </row>
        <row r="276">
          <cell r="C276">
            <v>2991364.47</v>
          </cell>
          <cell r="D276">
            <v>-538813.13000000082</v>
          </cell>
        </row>
        <row r="277">
          <cell r="C277">
            <v>637636</v>
          </cell>
          <cell r="D277">
            <v>139450</v>
          </cell>
        </row>
        <row r="278">
          <cell r="C278">
            <v>0</v>
          </cell>
          <cell r="D278">
            <v>0</v>
          </cell>
        </row>
        <row r="279">
          <cell r="C279">
            <v>0</v>
          </cell>
          <cell r="D279">
            <v>0</v>
          </cell>
        </row>
        <row r="280">
          <cell r="C280">
            <v>377316.52</v>
          </cell>
          <cell r="D280">
            <v>1961163.28</v>
          </cell>
        </row>
        <row r="281">
          <cell r="C281">
            <v>0</v>
          </cell>
          <cell r="D281">
            <v>214850</v>
          </cell>
        </row>
        <row r="282">
          <cell r="C282">
            <v>0</v>
          </cell>
          <cell r="D282">
            <v>0</v>
          </cell>
        </row>
        <row r="283">
          <cell r="C283">
            <v>20338.98</v>
          </cell>
          <cell r="D283">
            <v>300901.5</v>
          </cell>
        </row>
        <row r="284">
          <cell r="C284">
            <v>186061.85</v>
          </cell>
          <cell r="D284">
            <v>269996.28000000003</v>
          </cell>
        </row>
        <row r="285">
          <cell r="C285">
            <v>139400</v>
          </cell>
          <cell r="D285">
            <v>440250</v>
          </cell>
        </row>
        <row r="286">
          <cell r="C286">
            <v>8500</v>
          </cell>
          <cell r="D286">
            <v>736479.11</v>
          </cell>
        </row>
        <row r="288">
          <cell r="C288">
            <v>0</v>
          </cell>
          <cell r="D288">
            <v>0</v>
          </cell>
        </row>
        <row r="289">
          <cell r="C289">
            <v>0</v>
          </cell>
          <cell r="D289">
            <v>0</v>
          </cell>
        </row>
        <row r="292">
          <cell r="C292">
            <v>1193947.54</v>
          </cell>
          <cell r="D292">
            <v>3816377.92</v>
          </cell>
        </row>
        <row r="293">
          <cell r="C293">
            <v>0</v>
          </cell>
          <cell r="D293">
            <v>391500</v>
          </cell>
        </row>
        <row r="294">
          <cell r="D294">
            <v>0</v>
          </cell>
        </row>
      </sheetData>
      <sheetData sheetId="3"/>
      <sheetData sheetId="4"/>
      <sheetData sheetId="5">
        <row r="289">
          <cell r="E289">
            <v>21195285</v>
          </cell>
        </row>
        <row r="290">
          <cell r="E290">
            <v>55543832</v>
          </cell>
        </row>
        <row r="291">
          <cell r="E291">
            <v>118200000</v>
          </cell>
        </row>
        <row r="295">
          <cell r="E295">
            <v>233274064.41999999</v>
          </cell>
        </row>
      </sheetData>
      <sheetData sheetId="6"/>
      <sheetData sheetId="7"/>
      <sheetData sheetId="8">
        <row r="598">
          <cell r="C598">
            <v>610204.24</v>
          </cell>
          <cell r="D598">
            <v>493233.52999999997</v>
          </cell>
        </row>
      </sheetData>
      <sheetData sheetId="9">
        <row r="14">
          <cell r="K14">
            <v>47465209.639999986</v>
          </cell>
        </row>
        <row r="28">
          <cell r="E28">
            <v>220360422.87</v>
          </cell>
          <cell r="F28">
            <v>24689545.350000001</v>
          </cell>
          <cell r="H28">
            <v>10876825.58</v>
          </cell>
          <cell r="I28">
            <v>34810179.979999997</v>
          </cell>
        </row>
        <row r="29">
          <cell r="E29">
            <v>25248051.370000005</v>
          </cell>
          <cell r="F29">
            <v>780111.56999999832</v>
          </cell>
          <cell r="G29">
            <v>8638.7799999999988</v>
          </cell>
          <cell r="H29">
            <v>340373.11999999965</v>
          </cell>
          <cell r="I29">
            <v>1668929.1400000006</v>
          </cell>
          <cell r="K29">
            <v>28046103.980000004</v>
          </cell>
        </row>
      </sheetData>
      <sheetData sheetId="10"/>
      <sheetData sheetId="11">
        <row r="11">
          <cell r="B11">
            <v>322296014.52000004</v>
          </cell>
        </row>
        <row r="12">
          <cell r="B12">
            <v>0</v>
          </cell>
        </row>
        <row r="15">
          <cell r="B15">
            <v>35841427.399999999</v>
          </cell>
        </row>
        <row r="16">
          <cell r="B16">
            <v>469229.72</v>
          </cell>
        </row>
        <row r="17">
          <cell r="B17">
            <v>193172</v>
          </cell>
          <cell r="C17">
            <v>193172</v>
          </cell>
        </row>
        <row r="36">
          <cell r="B36">
            <v>501724.93999999994</v>
          </cell>
        </row>
        <row r="59">
          <cell r="B59">
            <v>1139724344.49</v>
          </cell>
          <cell r="C59">
            <v>1044940074.5800002</v>
          </cell>
        </row>
      </sheetData>
      <sheetData sheetId="12">
        <row r="11">
          <cell r="B11">
            <v>164909316.59999999</v>
          </cell>
        </row>
        <row r="12">
          <cell r="B12">
            <v>217033188.37</v>
          </cell>
        </row>
        <row r="13">
          <cell r="B13">
            <v>0</v>
          </cell>
        </row>
        <row r="17">
          <cell r="B17">
            <v>167159350.03999999</v>
          </cell>
        </row>
        <row r="18">
          <cell r="B18">
            <v>0</v>
          </cell>
        </row>
        <row r="19">
          <cell r="B19">
            <v>25950801</v>
          </cell>
        </row>
        <row r="20">
          <cell r="B20">
            <v>28206672.400000006</v>
          </cell>
          <cell r="C20">
            <v>47703205.719999984</v>
          </cell>
        </row>
        <row r="22">
          <cell r="B22">
            <v>65146812.780000001</v>
          </cell>
        </row>
        <row r="23">
          <cell r="B23">
            <v>694598.84</v>
          </cell>
        </row>
        <row r="30">
          <cell r="C30">
            <v>-88398085.719999969</v>
          </cell>
        </row>
        <row r="35">
          <cell r="B35">
            <v>94784269.910000026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
          <cell r="E10">
            <v>89115851.49000001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5">
          <cell r="D25">
            <v>1598764</v>
          </cell>
          <cell r="E25">
            <v>1598764</v>
          </cell>
          <cell r="F25">
            <v>15225006</v>
          </cell>
          <cell r="G25">
            <v>3277275</v>
          </cell>
          <cell r="H25">
            <v>3277275</v>
          </cell>
          <cell r="I25">
            <v>3277275</v>
          </cell>
          <cell r="J25">
            <v>3277275</v>
          </cell>
          <cell r="K25">
            <v>3277275</v>
          </cell>
          <cell r="L25">
            <v>3277275</v>
          </cell>
          <cell r="M25">
            <v>3277275</v>
          </cell>
          <cell r="N25">
            <v>6554550</v>
          </cell>
          <cell r="O25">
            <v>0</v>
          </cell>
        </row>
        <row r="26">
          <cell r="D26">
            <v>0</v>
          </cell>
          <cell r="E26">
            <v>41370000</v>
          </cell>
          <cell r="F26">
            <v>0</v>
          </cell>
          <cell r="G26">
            <v>0</v>
          </cell>
          <cell r="H26">
            <v>0</v>
          </cell>
          <cell r="I26">
            <v>0</v>
          </cell>
          <cell r="J26">
            <v>0</v>
          </cell>
          <cell r="K26">
            <v>0</v>
          </cell>
          <cell r="L26">
            <v>59100000</v>
          </cell>
          <cell r="M26">
            <v>0</v>
          </cell>
          <cell r="N26">
            <v>17730000</v>
          </cell>
          <cell r="O26">
            <v>0</v>
          </cell>
        </row>
        <row r="27">
          <cell r="D27">
            <v>4628652.67</v>
          </cell>
          <cell r="E27">
            <v>4628652.67</v>
          </cell>
          <cell r="F27">
            <v>4628652.67</v>
          </cell>
          <cell r="G27">
            <v>4628652.67</v>
          </cell>
          <cell r="H27">
            <v>4628652.67</v>
          </cell>
          <cell r="I27">
            <v>4628652.67</v>
          </cell>
          <cell r="J27">
            <v>4628652.67</v>
          </cell>
          <cell r="K27">
            <v>4628652.67</v>
          </cell>
          <cell r="L27">
            <v>4628652.67</v>
          </cell>
          <cell r="M27">
            <v>4628652.67</v>
          </cell>
          <cell r="N27">
            <v>4628652.67</v>
          </cell>
          <cell r="O27">
            <v>0</v>
          </cell>
        </row>
      </sheetData>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71"/>
  <sheetViews>
    <sheetView tabSelected="1" workbookViewId="0">
      <selection activeCell="L12" sqref="L12"/>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7" style="2" bestFit="1" customWidth="1"/>
    <col min="8" max="8" width="7" style="2" hidden="1" customWidth="1"/>
    <col min="9" max="9" width="31" style="2" hidden="1" customWidth="1"/>
    <col min="10" max="10" width="5.28515625" style="3" customWidth="1"/>
    <col min="11" max="13" width="5.28515625" style="2"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7" style="2" bestFit="1" customWidth="1"/>
    <col min="264" max="265" width="0" style="2" hidden="1" customWidth="1"/>
    <col min="266"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7" style="2" bestFit="1" customWidth="1"/>
    <col min="520" max="521" width="0" style="2" hidden="1" customWidth="1"/>
    <col min="522"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7" style="2" bestFit="1" customWidth="1"/>
    <col min="776" max="777" width="0" style="2" hidden="1" customWidth="1"/>
    <col min="778"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7" style="2" bestFit="1" customWidth="1"/>
    <col min="1032" max="1033" width="0" style="2" hidden="1" customWidth="1"/>
    <col min="1034"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7" style="2" bestFit="1" customWidth="1"/>
    <col min="1288" max="1289" width="0" style="2" hidden="1" customWidth="1"/>
    <col min="1290"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7" style="2" bestFit="1" customWidth="1"/>
    <col min="1544" max="1545" width="0" style="2" hidden="1" customWidth="1"/>
    <col min="1546"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7" style="2" bestFit="1" customWidth="1"/>
    <col min="1800" max="1801" width="0" style="2" hidden="1" customWidth="1"/>
    <col min="1802"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7" style="2" bestFit="1" customWidth="1"/>
    <col min="2056" max="2057" width="0" style="2" hidden="1" customWidth="1"/>
    <col min="2058"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7" style="2" bestFit="1" customWidth="1"/>
    <col min="2312" max="2313" width="0" style="2" hidden="1" customWidth="1"/>
    <col min="2314"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7" style="2" bestFit="1" customWidth="1"/>
    <col min="2568" max="2569" width="0" style="2" hidden="1" customWidth="1"/>
    <col min="2570"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7" style="2" bestFit="1" customWidth="1"/>
    <col min="2824" max="2825" width="0" style="2" hidden="1" customWidth="1"/>
    <col min="2826"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7" style="2" bestFit="1" customWidth="1"/>
    <col min="3080" max="3081" width="0" style="2" hidden="1" customWidth="1"/>
    <col min="3082"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7" style="2" bestFit="1" customWidth="1"/>
    <col min="3336" max="3337" width="0" style="2" hidden="1" customWidth="1"/>
    <col min="3338"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7" style="2" bestFit="1" customWidth="1"/>
    <col min="3592" max="3593" width="0" style="2" hidden="1" customWidth="1"/>
    <col min="3594"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7" style="2" bestFit="1" customWidth="1"/>
    <col min="3848" max="3849" width="0" style="2" hidden="1" customWidth="1"/>
    <col min="3850"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7" style="2" bestFit="1" customWidth="1"/>
    <col min="4104" max="4105" width="0" style="2" hidden="1" customWidth="1"/>
    <col min="4106"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7" style="2" bestFit="1" customWidth="1"/>
    <col min="4360" max="4361" width="0" style="2" hidden="1" customWidth="1"/>
    <col min="4362"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7" style="2" bestFit="1" customWidth="1"/>
    <col min="4616" max="4617" width="0" style="2" hidden="1" customWidth="1"/>
    <col min="4618"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7" style="2" bestFit="1" customWidth="1"/>
    <col min="4872" max="4873" width="0" style="2" hidden="1" customWidth="1"/>
    <col min="4874"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7" style="2" bestFit="1" customWidth="1"/>
    <col min="5128" max="5129" width="0" style="2" hidden="1" customWidth="1"/>
    <col min="5130"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7" style="2" bestFit="1" customWidth="1"/>
    <col min="5384" max="5385" width="0" style="2" hidden="1" customWidth="1"/>
    <col min="5386"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7" style="2" bestFit="1" customWidth="1"/>
    <col min="5640" max="5641" width="0" style="2" hidden="1" customWidth="1"/>
    <col min="5642"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7" style="2" bestFit="1" customWidth="1"/>
    <col min="5896" max="5897" width="0" style="2" hidden="1" customWidth="1"/>
    <col min="5898"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7" style="2" bestFit="1" customWidth="1"/>
    <col min="6152" max="6153" width="0" style="2" hidden="1" customWidth="1"/>
    <col min="6154"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7" style="2" bestFit="1" customWidth="1"/>
    <col min="6408" max="6409" width="0" style="2" hidden="1" customWidth="1"/>
    <col min="6410"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7" style="2" bestFit="1" customWidth="1"/>
    <col min="6664" max="6665" width="0" style="2" hidden="1" customWidth="1"/>
    <col min="6666"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7" style="2" bestFit="1" customWidth="1"/>
    <col min="6920" max="6921" width="0" style="2" hidden="1" customWidth="1"/>
    <col min="6922"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7" style="2" bestFit="1" customWidth="1"/>
    <col min="7176" max="7177" width="0" style="2" hidden="1" customWidth="1"/>
    <col min="7178"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7" style="2" bestFit="1" customWidth="1"/>
    <col min="7432" max="7433" width="0" style="2" hidden="1" customWidth="1"/>
    <col min="7434"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7" style="2" bestFit="1" customWidth="1"/>
    <col min="7688" max="7689" width="0" style="2" hidden="1" customWidth="1"/>
    <col min="7690"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7" style="2" bestFit="1" customWidth="1"/>
    <col min="7944" max="7945" width="0" style="2" hidden="1" customWidth="1"/>
    <col min="7946"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7" style="2" bestFit="1" customWidth="1"/>
    <col min="8200" max="8201" width="0" style="2" hidden="1" customWidth="1"/>
    <col min="8202"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7" style="2" bestFit="1" customWidth="1"/>
    <col min="8456" max="8457" width="0" style="2" hidden="1" customWidth="1"/>
    <col min="8458"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7" style="2" bestFit="1" customWidth="1"/>
    <col min="8712" max="8713" width="0" style="2" hidden="1" customWidth="1"/>
    <col min="8714"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7" style="2" bestFit="1" customWidth="1"/>
    <col min="8968" max="8969" width="0" style="2" hidden="1" customWidth="1"/>
    <col min="8970"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7" style="2" bestFit="1" customWidth="1"/>
    <col min="9224" max="9225" width="0" style="2" hidden="1" customWidth="1"/>
    <col min="9226"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7" style="2" bestFit="1" customWidth="1"/>
    <col min="9480" max="9481" width="0" style="2" hidden="1" customWidth="1"/>
    <col min="9482"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7" style="2" bestFit="1" customWidth="1"/>
    <col min="9736" max="9737" width="0" style="2" hidden="1" customWidth="1"/>
    <col min="9738"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7" style="2" bestFit="1" customWidth="1"/>
    <col min="9992" max="9993" width="0" style="2" hidden="1" customWidth="1"/>
    <col min="9994"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7" style="2" bestFit="1" customWidth="1"/>
    <col min="10248" max="10249" width="0" style="2" hidden="1" customWidth="1"/>
    <col min="10250"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7" style="2" bestFit="1" customWidth="1"/>
    <col min="10504" max="10505" width="0" style="2" hidden="1" customWidth="1"/>
    <col min="10506"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7" style="2" bestFit="1" customWidth="1"/>
    <col min="10760" max="10761" width="0" style="2" hidden="1" customWidth="1"/>
    <col min="10762"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7" style="2" bestFit="1" customWidth="1"/>
    <col min="11016" max="11017" width="0" style="2" hidden="1" customWidth="1"/>
    <col min="11018"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7" style="2" bestFit="1" customWidth="1"/>
    <col min="11272" max="11273" width="0" style="2" hidden="1" customWidth="1"/>
    <col min="11274"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7" style="2" bestFit="1" customWidth="1"/>
    <col min="11528" max="11529" width="0" style="2" hidden="1" customWidth="1"/>
    <col min="11530"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7" style="2" bestFit="1" customWidth="1"/>
    <col min="11784" max="11785" width="0" style="2" hidden="1" customWidth="1"/>
    <col min="11786"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7" style="2" bestFit="1" customWidth="1"/>
    <col min="12040" max="12041" width="0" style="2" hidden="1" customWidth="1"/>
    <col min="12042"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7" style="2" bestFit="1" customWidth="1"/>
    <col min="12296" max="12297" width="0" style="2" hidden="1" customWidth="1"/>
    <col min="12298"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7" style="2" bestFit="1" customWidth="1"/>
    <col min="12552" max="12553" width="0" style="2" hidden="1" customWidth="1"/>
    <col min="12554"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7" style="2" bestFit="1" customWidth="1"/>
    <col min="12808" max="12809" width="0" style="2" hidden="1" customWidth="1"/>
    <col min="12810"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7" style="2" bestFit="1" customWidth="1"/>
    <col min="13064" max="13065" width="0" style="2" hidden="1" customWidth="1"/>
    <col min="13066"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7" style="2" bestFit="1" customWidth="1"/>
    <col min="13320" max="13321" width="0" style="2" hidden="1" customWidth="1"/>
    <col min="13322"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7" style="2" bestFit="1" customWidth="1"/>
    <col min="13576" max="13577" width="0" style="2" hidden="1" customWidth="1"/>
    <col min="13578"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7" style="2" bestFit="1" customWidth="1"/>
    <col min="13832" max="13833" width="0" style="2" hidden="1" customWidth="1"/>
    <col min="13834"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7" style="2" bestFit="1" customWidth="1"/>
    <col min="14088" max="14089" width="0" style="2" hidden="1" customWidth="1"/>
    <col min="14090"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7" style="2" bestFit="1" customWidth="1"/>
    <col min="14344" max="14345" width="0" style="2" hidden="1" customWidth="1"/>
    <col min="14346"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7" style="2" bestFit="1" customWidth="1"/>
    <col min="14600" max="14601" width="0" style="2" hidden="1" customWidth="1"/>
    <col min="14602"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7" style="2" bestFit="1" customWidth="1"/>
    <col min="14856" max="14857" width="0" style="2" hidden="1" customWidth="1"/>
    <col min="14858"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7" style="2" bestFit="1" customWidth="1"/>
    <col min="15112" max="15113" width="0" style="2" hidden="1" customWidth="1"/>
    <col min="15114"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7" style="2" bestFit="1" customWidth="1"/>
    <col min="15368" max="15369" width="0" style="2" hidden="1" customWidth="1"/>
    <col min="15370"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7" style="2" bestFit="1" customWidth="1"/>
    <col min="15624" max="15625" width="0" style="2" hidden="1" customWidth="1"/>
    <col min="15626"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7" style="2" bestFit="1" customWidth="1"/>
    <col min="15880" max="15881" width="0" style="2" hidden="1" customWidth="1"/>
    <col min="15882"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7" style="2" bestFit="1" customWidth="1"/>
    <col min="16136" max="16137" width="0" style="2" hidden="1" customWidth="1"/>
    <col min="16138"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30 de Noviembre del 2024.</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19"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0" t="s">
        <v>39</v>
      </c>
      <c r="C46" s="20"/>
      <c r="D46" s="20"/>
      <c r="E46" s="20"/>
    </row>
    <row r="47" spans="2:5" ht="56.25" customHeight="1" x14ac:dyDescent="0.25">
      <c r="B47" s="20" t="s">
        <v>40</v>
      </c>
      <c r="C47" s="20"/>
      <c r="D47" s="20"/>
      <c r="E47" s="20"/>
    </row>
    <row r="48" spans="2:5" ht="69.75" customHeight="1" x14ac:dyDescent="0.25">
      <c r="B48" s="14" t="s">
        <v>41</v>
      </c>
      <c r="C48" s="14"/>
      <c r="D48" s="14"/>
      <c r="E48" s="14"/>
    </row>
    <row r="49" spans="2:5" ht="13.5" customHeight="1" x14ac:dyDescent="0.25">
      <c r="B49" s="21"/>
      <c r="C49" s="21"/>
      <c r="D49" s="21"/>
      <c r="E49" s="21"/>
    </row>
    <row r="50" spans="2:5" ht="13.5" customHeight="1" x14ac:dyDescent="0.25">
      <c r="B50" s="21"/>
      <c r="C50" s="21"/>
      <c r="D50" s="21"/>
      <c r="E50" s="21"/>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2" t="s">
        <v>44</v>
      </c>
      <c r="C54" s="22"/>
      <c r="D54" s="22"/>
      <c r="E54" s="22"/>
    </row>
    <row r="55" spans="2:5" ht="14.25" customHeight="1" x14ac:dyDescent="0.25">
      <c r="B55" s="23"/>
      <c r="C55" s="23"/>
      <c r="D55" s="23"/>
      <c r="E55" s="23"/>
    </row>
    <row r="56" spans="2:5" ht="14.25" customHeight="1" x14ac:dyDescent="0.25">
      <c r="B56" s="23"/>
      <c r="C56" s="23"/>
      <c r="D56" s="23"/>
      <c r="E56" s="23"/>
    </row>
    <row r="57" spans="2:5" ht="25.5" customHeight="1" x14ac:dyDescent="0.25">
      <c r="B57" s="17" t="s">
        <v>45</v>
      </c>
      <c r="C57" s="23"/>
      <c r="D57" s="24"/>
      <c r="E57" s="23"/>
    </row>
    <row r="58" spans="2:5" x14ac:dyDescent="0.25">
      <c r="B58" s="17" t="s">
        <v>46</v>
      </c>
    </row>
    <row r="59" spans="2:5" ht="55.5" customHeight="1" x14ac:dyDescent="0.25">
      <c r="B59" s="20" t="s">
        <v>47</v>
      </c>
      <c r="C59" s="20"/>
      <c r="D59" s="20"/>
      <c r="E59" s="20"/>
    </row>
    <row r="60" spans="2:5" ht="27" customHeight="1" x14ac:dyDescent="0.25">
      <c r="B60" s="20" t="s">
        <v>48</v>
      </c>
      <c r="C60" s="20"/>
      <c r="D60" s="20"/>
      <c r="E60" s="20"/>
    </row>
    <row r="61" spans="2:5" x14ac:dyDescent="0.25">
      <c r="B61" s="7" t="s">
        <v>49</v>
      </c>
      <c r="C61" s="7"/>
      <c r="D61" s="7"/>
      <c r="E61" s="7"/>
    </row>
    <row r="62" spans="2:5" ht="73.5" customHeight="1" x14ac:dyDescent="0.25">
      <c r="B62" s="25" t="s">
        <v>50</v>
      </c>
      <c r="C62" s="25"/>
      <c r="D62" s="25"/>
      <c r="E62" s="25"/>
    </row>
    <row r="63" spans="2:5" x14ac:dyDescent="0.25">
      <c r="B63" s="7" t="s">
        <v>51</v>
      </c>
      <c r="C63" s="7"/>
      <c r="D63" s="7"/>
      <c r="E63" s="7"/>
    </row>
    <row r="64" spans="2:5" ht="68.25" customHeight="1" x14ac:dyDescent="0.25">
      <c r="B64" s="14" t="s">
        <v>52</v>
      </c>
      <c r="C64" s="14"/>
      <c r="D64" s="14"/>
      <c r="E64" s="14"/>
    </row>
    <row r="65" spans="2:5" ht="68.25" customHeight="1" x14ac:dyDescent="0.25">
      <c r="B65" s="21"/>
      <c r="C65" s="21"/>
      <c r="D65" s="21"/>
      <c r="E65" s="21"/>
    </row>
    <row r="66" spans="2:5" ht="25.5" customHeight="1" x14ac:dyDescent="0.25">
      <c r="B66" s="7" t="s">
        <v>53</v>
      </c>
      <c r="C66" s="7"/>
      <c r="D66" s="7"/>
      <c r="E66" s="7"/>
    </row>
    <row r="67" spans="2:5" ht="46.5" customHeight="1" x14ac:dyDescent="0.25">
      <c r="B67" s="20" t="s">
        <v>54</v>
      </c>
      <c r="C67" s="20"/>
      <c r="D67" s="20"/>
      <c r="E67" s="20"/>
    </row>
    <row r="68" spans="2:5" ht="43.5" hidden="1" customHeight="1" x14ac:dyDescent="0.25">
      <c r="B68" s="26" t="s">
        <v>55</v>
      </c>
      <c r="C68" s="26"/>
      <c r="D68" s="26"/>
      <c r="E68" s="26"/>
    </row>
    <row r="69" spans="2:5" ht="58.5" hidden="1" customHeight="1" x14ac:dyDescent="0.25">
      <c r="B69" s="26" t="s">
        <v>56</v>
      </c>
      <c r="C69" s="26"/>
      <c r="D69" s="26"/>
      <c r="E69" s="26"/>
    </row>
    <row r="70" spans="2:5" ht="30" hidden="1" customHeight="1" x14ac:dyDescent="0.25">
      <c r="B70" s="26" t="s">
        <v>57</v>
      </c>
      <c r="C70" s="26"/>
      <c r="D70" s="26"/>
      <c r="E70" s="26"/>
    </row>
    <row r="71" spans="2:5" hidden="1" x14ac:dyDescent="0.25">
      <c r="B71" s="26" t="s">
        <v>58</v>
      </c>
      <c r="C71" s="26"/>
      <c r="D71" s="26"/>
      <c r="E71" s="26"/>
    </row>
    <row r="72" spans="2:5" ht="63.75" hidden="1" customHeight="1" x14ac:dyDescent="0.25">
      <c r="B72" s="26" t="s">
        <v>59</v>
      </c>
      <c r="C72" s="26"/>
      <c r="D72" s="26"/>
      <c r="E72" s="26"/>
    </row>
    <row r="73" spans="2:5" ht="42" hidden="1" customHeight="1" x14ac:dyDescent="0.25">
      <c r="B73" s="26" t="s">
        <v>60</v>
      </c>
      <c r="C73" s="26"/>
      <c r="D73" s="26"/>
      <c r="E73" s="26"/>
    </row>
    <row r="74" spans="2:5" ht="78.75" hidden="1" customHeight="1" x14ac:dyDescent="0.25">
      <c r="B74" s="26" t="s">
        <v>61</v>
      </c>
      <c r="C74" s="26"/>
      <c r="D74" s="26"/>
      <c r="E74" s="26"/>
    </row>
    <row r="75" spans="2:5" ht="66" hidden="1" customHeight="1" x14ac:dyDescent="0.25">
      <c r="B75" s="26" t="s">
        <v>62</v>
      </c>
      <c r="C75" s="26"/>
      <c r="D75" s="26"/>
      <c r="E75" s="26"/>
    </row>
    <row r="76" spans="2:5" ht="13.5" customHeight="1" x14ac:dyDescent="0.25">
      <c r="B76" s="27"/>
      <c r="C76" s="27"/>
      <c r="D76" s="28"/>
      <c r="E76" s="27"/>
    </row>
    <row r="77" spans="2:5" ht="26.25" customHeight="1" x14ac:dyDescent="0.25">
      <c r="B77" s="7" t="s">
        <v>63</v>
      </c>
      <c r="C77" s="7"/>
      <c r="D77" s="7"/>
      <c r="E77" s="7"/>
    </row>
    <row r="78" spans="2:5" ht="34.5" customHeight="1" x14ac:dyDescent="0.25">
      <c r="B78" s="29" t="s">
        <v>64</v>
      </c>
      <c r="C78" s="29"/>
      <c r="D78" s="29"/>
      <c r="E78" s="29"/>
    </row>
    <row r="79" spans="2:5" ht="15.75" customHeight="1" x14ac:dyDescent="0.25">
      <c r="B79" s="27"/>
      <c r="C79" s="27"/>
      <c r="D79" s="27"/>
      <c r="E79" s="27"/>
    </row>
    <row r="80" spans="2:5" ht="15.75" customHeight="1" x14ac:dyDescent="0.25">
      <c r="B80" s="30" t="s">
        <v>65</v>
      </c>
      <c r="C80" s="27"/>
      <c r="D80" s="28"/>
      <c r="E80" s="27"/>
    </row>
    <row r="81" spans="2:5" ht="20.25" customHeight="1" x14ac:dyDescent="0.25">
      <c r="B81" s="7" t="s">
        <v>66</v>
      </c>
      <c r="C81" s="7"/>
      <c r="D81" s="7"/>
      <c r="E81" s="7"/>
    </row>
    <row r="82" spans="2:5" x14ac:dyDescent="0.25">
      <c r="B82" s="7" t="s">
        <v>67</v>
      </c>
      <c r="C82" s="7"/>
      <c r="D82" s="7"/>
      <c r="E82" s="7"/>
    </row>
    <row r="83" spans="2:5" ht="49.5" customHeight="1" x14ac:dyDescent="0.25">
      <c r="B83" s="29" t="s">
        <v>68</v>
      </c>
      <c r="C83" s="29"/>
      <c r="D83" s="29"/>
      <c r="E83" s="29"/>
    </row>
    <row r="84" spans="2:5" x14ac:dyDescent="0.25">
      <c r="B84" s="7" t="s">
        <v>69</v>
      </c>
      <c r="C84" s="7"/>
      <c r="D84" s="7"/>
      <c r="E84" s="7"/>
    </row>
    <row r="85" spans="2:5" ht="45" customHeight="1" x14ac:dyDescent="0.25">
      <c r="B85" s="20" t="s">
        <v>70</v>
      </c>
      <c r="C85" s="20"/>
      <c r="D85" s="20"/>
      <c r="E85" s="20"/>
    </row>
    <row r="86" spans="2:5" x14ac:dyDescent="0.25">
      <c r="B86" s="7" t="s">
        <v>71</v>
      </c>
      <c r="C86" s="7"/>
      <c r="D86" s="7"/>
      <c r="E86" s="7"/>
    </row>
    <row r="87" spans="2:5" ht="39.75" customHeight="1" x14ac:dyDescent="0.25">
      <c r="B87" s="20" t="s">
        <v>72</v>
      </c>
      <c r="C87" s="20"/>
      <c r="D87" s="20"/>
      <c r="E87" s="20"/>
    </row>
    <row r="88" spans="2:5" x14ac:dyDescent="0.25">
      <c r="B88" s="7" t="s">
        <v>73</v>
      </c>
      <c r="C88" s="7"/>
      <c r="D88" s="7"/>
      <c r="E88" s="7"/>
    </row>
    <row r="89" spans="2:5" ht="40.5" customHeight="1" x14ac:dyDescent="0.25">
      <c r="B89" s="20" t="s">
        <v>74</v>
      </c>
      <c r="C89" s="20"/>
      <c r="D89" s="20"/>
      <c r="E89" s="20"/>
    </row>
    <row r="90" spans="2:5" x14ac:dyDescent="0.25">
      <c r="B90" s="7" t="s">
        <v>75</v>
      </c>
      <c r="C90" s="7"/>
      <c r="D90" s="7"/>
      <c r="E90" s="7"/>
    </row>
    <row r="91" spans="2:5" ht="39" customHeight="1" x14ac:dyDescent="0.25">
      <c r="B91" s="20" t="s">
        <v>76</v>
      </c>
      <c r="C91" s="20"/>
      <c r="D91" s="20"/>
      <c r="E91" s="20"/>
    </row>
    <row r="92" spans="2:5" x14ac:dyDescent="0.25">
      <c r="B92" s="7" t="s">
        <v>77</v>
      </c>
      <c r="C92" s="7"/>
      <c r="D92" s="7"/>
      <c r="E92" s="7"/>
    </row>
    <row r="93" spans="2:5" ht="25.5" customHeight="1" x14ac:dyDescent="0.25">
      <c r="B93" s="7" t="s">
        <v>78</v>
      </c>
      <c r="C93" s="7"/>
      <c r="D93" s="7"/>
      <c r="E93" s="7"/>
    </row>
    <row r="94" spans="2:5" ht="45" customHeight="1" x14ac:dyDescent="0.25">
      <c r="B94" s="20" t="s">
        <v>79</v>
      </c>
      <c r="C94" s="20"/>
      <c r="D94" s="20"/>
      <c r="E94" s="20"/>
    </row>
    <row r="95" spans="2:5" ht="35.25" customHeight="1" x14ac:dyDescent="0.25">
      <c r="B95" s="20" t="s">
        <v>80</v>
      </c>
      <c r="C95" s="20"/>
      <c r="D95" s="20"/>
      <c r="E95" s="20"/>
    </row>
    <row r="96" spans="2:5" ht="39.75" customHeight="1" x14ac:dyDescent="0.25">
      <c r="B96" s="14" t="s">
        <v>81</v>
      </c>
      <c r="C96" s="14"/>
      <c r="D96" s="14"/>
      <c r="E96" s="14"/>
    </row>
    <row r="97" spans="2:5" ht="51.75" customHeight="1" x14ac:dyDescent="0.25">
      <c r="B97" s="20" t="s">
        <v>82</v>
      </c>
      <c r="C97" s="20"/>
      <c r="D97" s="20"/>
      <c r="E97" s="20"/>
    </row>
    <row r="98" spans="2:5" ht="24.75" customHeight="1" x14ac:dyDescent="0.25">
      <c r="B98" s="16"/>
      <c r="C98" s="16"/>
      <c r="D98" s="16"/>
      <c r="E98" s="16"/>
    </row>
    <row r="99" spans="2:5" ht="33" customHeight="1" x14ac:dyDescent="0.25">
      <c r="B99" s="16"/>
      <c r="C99" s="16"/>
      <c r="D99" s="16"/>
      <c r="E99" s="16"/>
    </row>
    <row r="100" spans="2:5" ht="36.75" customHeight="1" x14ac:dyDescent="0.25">
      <c r="B100" s="20" t="s">
        <v>83</v>
      </c>
      <c r="C100" s="20"/>
      <c r="D100" s="20"/>
      <c r="E100" s="20"/>
    </row>
    <row r="101" spans="2:5" ht="87.75" customHeight="1" x14ac:dyDescent="0.25">
      <c r="B101" s="20" t="s">
        <v>84</v>
      </c>
      <c r="C101" s="20"/>
      <c r="D101" s="20"/>
      <c r="E101" s="20"/>
    </row>
    <row r="102" spans="2:5" ht="18.75" customHeight="1" x14ac:dyDescent="0.25">
      <c r="B102" s="12" t="s">
        <v>85</v>
      </c>
      <c r="C102" s="12"/>
      <c r="D102" s="12"/>
      <c r="E102" s="12"/>
    </row>
    <row r="103" spans="2:5" ht="66.75" customHeight="1" x14ac:dyDescent="0.25">
      <c r="B103" s="20" t="s">
        <v>86</v>
      </c>
      <c r="C103" s="20"/>
      <c r="D103" s="20"/>
      <c r="E103" s="20"/>
    </row>
    <row r="104" spans="2:5" ht="55.5" customHeight="1" x14ac:dyDescent="0.25">
      <c r="B104" s="20" t="s">
        <v>87</v>
      </c>
      <c r="C104" s="20"/>
      <c r="D104" s="20"/>
      <c r="E104" s="20"/>
    </row>
    <row r="105" spans="2:5" ht="18.75" customHeight="1" x14ac:dyDescent="0.25">
      <c r="B105" s="12" t="s">
        <v>88</v>
      </c>
      <c r="C105" s="12"/>
      <c r="D105" s="12"/>
      <c r="E105" s="12"/>
    </row>
    <row r="106" spans="2:5" ht="42" customHeight="1" x14ac:dyDescent="0.25">
      <c r="B106" s="20" t="s">
        <v>89</v>
      </c>
      <c r="C106" s="20"/>
      <c r="D106" s="20"/>
      <c r="E106" s="20"/>
    </row>
    <row r="107" spans="2:5" ht="8.25" customHeight="1" x14ac:dyDescent="0.25">
      <c r="B107" s="16"/>
      <c r="C107" s="16"/>
      <c r="D107" s="31"/>
      <c r="E107" s="16"/>
    </row>
    <row r="108" spans="2:5" x14ac:dyDescent="0.25">
      <c r="B108" s="7" t="s">
        <v>90</v>
      </c>
      <c r="C108" s="7"/>
      <c r="D108" s="7"/>
      <c r="E108" s="7"/>
    </row>
    <row r="109" spans="2:5" ht="27" customHeight="1" x14ac:dyDescent="0.25">
      <c r="B109" s="7" t="s">
        <v>91</v>
      </c>
      <c r="C109" s="7"/>
      <c r="D109" s="7"/>
      <c r="E109" s="7"/>
    </row>
    <row r="110" spans="2:5" ht="37.5" customHeight="1" x14ac:dyDescent="0.25">
      <c r="B110" s="14" t="str">
        <f>("Un detalle del "&amp;_Toc208202813&amp;" al "&amp;[1]BALANZA!$B$3&amp;" "&amp;[1]BALANZA!$C$3&amp;" es como se detalla a continuación:")</f>
        <v>Un detalle del Efectivo y equivalentes de efectivo. al 30 de Noviembre del 2024 - 2023 es como se detalla a continuación:</v>
      </c>
      <c r="C110" s="32"/>
      <c r="D110" s="32"/>
      <c r="E110" s="32"/>
    </row>
    <row r="111" spans="2:5" ht="41.25" customHeight="1" x14ac:dyDescent="0.25">
      <c r="B111" s="20" t="str">
        <f>("El efectivo disponible en caja y cuentas bancarias presenta los siguientes ascenso  para el "&amp;C115&amp;" RD$"&amp;R124&amp;"  y para el "&amp;D115&amp;" fue de RD$ "&amp;R125&amp;" , el cual se detalla a continuación:")</f>
        <v>El efectivo disponible en caja y cuentas bancarias presenta los siguientes ascenso  para el 2024 RD$322,296,014.52  y para el 2023 fue de RD$ 198,749,953.57 , el cual se detalla a continuación:</v>
      </c>
      <c r="C111" s="20"/>
      <c r="D111" s="20"/>
      <c r="E111" s="20"/>
    </row>
    <row r="112" spans="2:5" ht="57.75" customHeight="1" x14ac:dyDescent="0.25">
      <c r="B112" s="20" t="s">
        <v>92</v>
      </c>
      <c r="C112" s="20"/>
      <c r="D112" s="20"/>
      <c r="E112" s="20"/>
    </row>
    <row r="113" spans="2:26" ht="22.5" customHeight="1" x14ac:dyDescent="0.25">
      <c r="B113" s="20" t="s">
        <v>93</v>
      </c>
      <c r="C113" s="20"/>
      <c r="D113" s="20"/>
      <c r="E113" s="20"/>
    </row>
    <row r="114" spans="2:26" ht="7.5" customHeight="1" x14ac:dyDescent="0.25">
      <c r="B114" s="13"/>
    </row>
    <row r="115" spans="2:26" x14ac:dyDescent="0.25">
      <c r="B115" s="33" t="s">
        <v>94</v>
      </c>
      <c r="C115" s="34">
        <f>+[1]BALANZA!B4</f>
        <v>2024</v>
      </c>
      <c r="D115" s="35">
        <f>+[1]BALANZA!C4</f>
        <v>2023</v>
      </c>
      <c r="E115" s="36" t="s">
        <v>95</v>
      </c>
    </row>
    <row r="116" spans="2:26" ht="18" hidden="1" customHeight="1" x14ac:dyDescent="0.25">
      <c r="B116" s="37" t="s">
        <v>96</v>
      </c>
      <c r="C116" s="38">
        <f>+'[1]BALANZA G'!C12</f>
        <v>0</v>
      </c>
      <c r="D116" s="39">
        <f>+'[1]BALANZA G'!D12</f>
        <v>0</v>
      </c>
      <c r="E116" s="40">
        <f t="shared" ref="E116:E122" si="0">+C116-D116</f>
        <v>0</v>
      </c>
    </row>
    <row r="117" spans="2:26" ht="18" customHeight="1" x14ac:dyDescent="0.25">
      <c r="B117" s="37" t="s">
        <v>97</v>
      </c>
      <c r="C117" s="38">
        <f>+'[1]BALANZA G'!C13</f>
        <v>110000</v>
      </c>
      <c r="D117" s="39">
        <f>+'[1]BALANZA G'!D13</f>
        <v>110000</v>
      </c>
      <c r="E117" s="40">
        <f t="shared" si="0"/>
        <v>0</v>
      </c>
    </row>
    <row r="118" spans="2:26" ht="18" customHeight="1" x14ac:dyDescent="0.25">
      <c r="B118" s="37" t="s">
        <v>98</v>
      </c>
      <c r="C118" s="38">
        <f>+'[1]BALANZA G'!C23</f>
        <v>274133.45</v>
      </c>
      <c r="D118" s="38">
        <f>IF(+'[1]BALANZA G'!D23&gt;0,+'[1]BALANZA G'!D23,0)</f>
        <v>271650.45</v>
      </c>
      <c r="E118" s="40">
        <f t="shared" si="0"/>
        <v>2483</v>
      </c>
    </row>
    <row r="119" spans="2:26" ht="18" customHeight="1" x14ac:dyDescent="0.25">
      <c r="B119" s="41" t="s">
        <v>99</v>
      </c>
      <c r="C119" s="38">
        <f>+'[1]BALANZA G'!C25</f>
        <v>935689.72</v>
      </c>
      <c r="D119" s="38">
        <f>IF(+'[1]BALANZA G'!D25&gt;0,+'[1]BALANZA G'!D25,0)</f>
        <v>1505395.67</v>
      </c>
      <c r="E119" s="42">
        <f t="shared" si="0"/>
        <v>-569705.94999999995</v>
      </c>
    </row>
    <row r="120" spans="2:26" ht="30" customHeight="1" x14ac:dyDescent="0.25">
      <c r="B120" s="37" t="s">
        <v>100</v>
      </c>
      <c r="C120" s="38">
        <f>+'[1]BALANZA G'!C24</f>
        <v>963874.72</v>
      </c>
      <c r="D120" s="38">
        <f>IF(+'[1]BALANZA G'!D24&gt;0,+'[1]BALANZA G'!D24,0)</f>
        <v>38274754.43</v>
      </c>
      <c r="E120" s="40">
        <f t="shared" si="0"/>
        <v>-37310879.710000001</v>
      </c>
    </row>
    <row r="121" spans="2:26" ht="17.25" customHeight="1" x14ac:dyDescent="0.25">
      <c r="B121" s="37" t="s">
        <v>101</v>
      </c>
      <c r="C121" s="38">
        <f>+'[1]BALANZA G'!C26</f>
        <v>1454948.77</v>
      </c>
      <c r="D121" s="38">
        <f>+'[1]BALANZA G'!D26</f>
        <v>1016617.28</v>
      </c>
      <c r="E121" s="40">
        <f t="shared" si="0"/>
        <v>438331.49</v>
      </c>
    </row>
    <row r="122" spans="2:26" ht="17.25" customHeight="1" x14ac:dyDescent="0.25">
      <c r="B122" s="43" t="s">
        <v>102</v>
      </c>
      <c r="C122" s="44">
        <f>+'[1]BALANZA G'!C27+'[1]BALANZA G'!C22</f>
        <v>318557367.86000001</v>
      </c>
      <c r="D122" s="38">
        <f>+'[1]BALANZA G'!D27+'[1]BALANZA G'!D22</f>
        <v>157571535.74000001</v>
      </c>
      <c r="E122" s="40">
        <f t="shared" si="0"/>
        <v>160985832.12</v>
      </c>
    </row>
    <row r="123" spans="2:26" ht="12.75" hidden="1" customHeight="1" x14ac:dyDescent="0.25">
      <c r="B123" s="43" t="s">
        <v>103</v>
      </c>
      <c r="C123" s="44">
        <f>+'[1]BALANZA G'!C28</f>
        <v>0</v>
      </c>
      <c r="D123" s="38">
        <f>+'[1]BALANZA G'!D28</f>
        <v>0</v>
      </c>
      <c r="E123" s="40"/>
    </row>
    <row r="124" spans="2:26" s="45" customFormat="1" ht="12.75" customHeight="1" x14ac:dyDescent="0.25">
      <c r="B124" s="46" t="s">
        <v>104</v>
      </c>
      <c r="C124" s="47">
        <f>SUM(C116:C123)</f>
        <v>322296014.52000004</v>
      </c>
      <c r="D124" s="47">
        <f>SUM(D116:D123)</f>
        <v>198749953.56999999</v>
      </c>
      <c r="E124" s="48">
        <f>SUM(E116:E120)</f>
        <v>-37878102.660000004</v>
      </c>
      <c r="J124" s="49"/>
      <c r="N124" s="49"/>
      <c r="R124" s="4" t="str">
        <f>+CONCATENATE(T124,",",U124,",",V124,W124)</f>
        <v>322,296,014.52</v>
      </c>
      <c r="S124" s="4"/>
      <c r="T124" s="4" t="str">
        <f>MID(C124,1,3)</f>
        <v>322</v>
      </c>
      <c r="U124" s="4" t="str">
        <f>MID(C124,4,3)</f>
        <v>296</v>
      </c>
      <c r="V124" s="4" t="str">
        <f>MID(C124,7,3)</f>
        <v>014</v>
      </c>
      <c r="W124" s="4" t="str">
        <f>MID(C124,10,3)</f>
        <v>.52</v>
      </c>
      <c r="X124" s="4"/>
      <c r="Y124" s="50"/>
      <c r="Z124" s="49"/>
    </row>
    <row r="125" spans="2:26" s="45" customFormat="1" x14ac:dyDescent="0.25">
      <c r="B125" s="51"/>
      <c r="C125" s="52">
        <f>+C124-'[1]ES F '!B11</f>
        <v>0</v>
      </c>
      <c r="D125" s="53"/>
      <c r="E125" s="54"/>
      <c r="J125" s="49"/>
      <c r="N125" s="49"/>
      <c r="R125" s="4" t="str">
        <f>+CONCATENATE(T125,",",U125,",",V125,W125)</f>
        <v>198,749,953.57</v>
      </c>
      <c r="S125" s="4"/>
      <c r="T125" s="4" t="str">
        <f>MID(D124,1,3)</f>
        <v>198</v>
      </c>
      <c r="U125" s="4" t="str">
        <f>MID(D124,4,3)</f>
        <v>749</v>
      </c>
      <c r="V125" s="4" t="str">
        <f>MID(D124,7,3)</f>
        <v>953</v>
      </c>
      <c r="W125" s="4" t="str">
        <f>MID(D124,10,3)</f>
        <v>.57</v>
      </c>
      <c r="X125" s="4" t="str">
        <f>MID(E125,7,3)</f>
        <v/>
      </c>
      <c r="Y125" s="4" t="str">
        <f>MID(C125,10,3)</f>
        <v/>
      </c>
      <c r="Z125" s="49"/>
    </row>
    <row r="126" spans="2:26" s="45" customFormat="1" x14ac:dyDescent="0.25">
      <c r="B126" s="55" t="str">
        <f>("Cambio porcentual con relación al "&amp;$D$115&amp;".")</f>
        <v>Cambio porcentual con relación al 2023.</v>
      </c>
      <c r="C126" s="56"/>
      <c r="D126" s="57" t="str">
        <f>IF(E126&gt;=0,"Aumento","Disminución")</f>
        <v>Disminución</v>
      </c>
      <c r="E126" s="58">
        <f>+E124/D124</f>
        <v>-0.19058169312557494</v>
      </c>
      <c r="J126" s="49"/>
      <c r="N126" s="49"/>
      <c r="R126" s="50"/>
      <c r="S126" s="50"/>
      <c r="T126" s="50"/>
      <c r="U126" s="50"/>
      <c r="V126" s="50"/>
      <c r="W126" s="50"/>
      <c r="X126" s="50"/>
      <c r="Y126" s="50"/>
      <c r="Z126" s="49"/>
    </row>
    <row r="127" spans="2:26" s="45" customFormat="1" ht="15.75" customHeight="1" x14ac:dyDescent="0.25">
      <c r="B127" s="59"/>
      <c r="C127" s="59"/>
      <c r="D127" s="60"/>
      <c r="E127" s="61"/>
      <c r="J127" s="49"/>
      <c r="N127" s="49"/>
      <c r="R127" s="50"/>
      <c r="S127" s="50"/>
      <c r="T127" s="50"/>
      <c r="U127" s="50"/>
      <c r="V127" s="50"/>
      <c r="W127" s="50"/>
      <c r="X127" s="50"/>
      <c r="Y127" s="50"/>
      <c r="Z127" s="49"/>
    </row>
    <row r="128" spans="2:26" s="45" customFormat="1" x14ac:dyDescent="0.25">
      <c r="B128" s="62"/>
      <c r="C128" s="62"/>
      <c r="D128" s="60"/>
      <c r="E128" s="63"/>
      <c r="J128" s="49"/>
      <c r="N128" s="49"/>
      <c r="R128" s="50"/>
      <c r="S128" s="50"/>
      <c r="T128" s="50"/>
      <c r="U128" s="50"/>
      <c r="V128" s="50"/>
      <c r="W128" s="50"/>
      <c r="X128" s="50"/>
      <c r="Y128" s="50"/>
      <c r="Z128" s="49"/>
    </row>
    <row r="129" spans="2:26" s="45" customFormat="1" x14ac:dyDescent="0.25">
      <c r="B129" s="62"/>
      <c r="C129" s="62"/>
      <c r="D129" s="60"/>
      <c r="E129" s="63"/>
      <c r="J129" s="49"/>
      <c r="N129" s="49"/>
      <c r="R129" s="50"/>
      <c r="S129" s="50"/>
      <c r="T129" s="50"/>
      <c r="U129" s="50"/>
      <c r="V129" s="50"/>
      <c r="W129" s="50"/>
      <c r="X129" s="50"/>
      <c r="Y129" s="50"/>
      <c r="Z129" s="49"/>
    </row>
    <row r="130" spans="2:26" s="45" customFormat="1" x14ac:dyDescent="0.25">
      <c r="B130" s="62"/>
      <c r="C130" s="62"/>
      <c r="D130" s="60"/>
      <c r="E130" s="63"/>
      <c r="J130" s="49"/>
      <c r="N130" s="49"/>
      <c r="R130" s="50"/>
      <c r="S130" s="50"/>
      <c r="T130" s="50"/>
      <c r="U130" s="50"/>
      <c r="V130" s="50"/>
      <c r="W130" s="50"/>
      <c r="X130" s="50"/>
      <c r="Y130" s="50"/>
      <c r="Z130" s="49"/>
    </row>
    <row r="131" spans="2:26" s="45" customFormat="1" x14ac:dyDescent="0.25">
      <c r="B131" s="62"/>
      <c r="C131" s="62"/>
      <c r="D131" s="60"/>
      <c r="E131" s="63"/>
      <c r="J131" s="49"/>
      <c r="N131" s="49"/>
      <c r="R131" s="50"/>
      <c r="S131" s="50"/>
      <c r="T131" s="50"/>
      <c r="U131" s="50"/>
      <c r="V131" s="50"/>
      <c r="W131" s="50"/>
      <c r="X131" s="50"/>
      <c r="Y131" s="50"/>
      <c r="Z131" s="49"/>
    </row>
    <row r="132" spans="2:26" x14ac:dyDescent="0.25">
      <c r="B132" s="11" t="s">
        <v>105</v>
      </c>
    </row>
    <row r="133" spans="2:26" x14ac:dyDescent="0.25">
      <c r="B133" s="64" t="s">
        <v>106</v>
      </c>
      <c r="C133" s="64"/>
      <c r="D133" s="64"/>
      <c r="E133" s="64"/>
    </row>
    <row r="134" spans="2:26" ht="23.25" customHeight="1" x14ac:dyDescent="0.25">
      <c r="B134" s="14" t="str">
        <f>("Un detalle del "&amp;B133&amp;" al "&amp;[1]BALANZA!$B$3&amp;" "&amp;[1]BALANZA!$C$3&amp;" es como se detalla a continuación:")</f>
        <v>Un detalle del Inversiones a corto plazo al 30 de Noviembre del 2024 - 2023 es como se detalla a continuación:</v>
      </c>
      <c r="C134" s="32"/>
      <c r="D134" s="32"/>
      <c r="E134" s="32"/>
    </row>
    <row r="135" spans="2:26" ht="45" customHeight="1" x14ac:dyDescent="0.25">
      <c r="B135" s="20" t="str">
        <f>("Las inversiones a corto plazo enta integrado por un certificado financiero en el banco de reservas a un año renobable a la tasa de 0.12% anual, para el "&amp;C137&amp;" el total era de RD$ "&amp;R140&amp;" y para el "&amp;D137&amp;" el total fue de RD$ "&amp;R141&amp;" , Según el siguiente detalle:")</f>
        <v>Las inversiones a corto plazo enta integrado por un certificado financiero en el banco de reservas a un año renobable a la tasa de 0.12% anual, para el 2024 el total era de RD$ 0,.00 y para el 2023 el total fue de RD$ 453,0000.00 , Según el siguiente detalle:</v>
      </c>
      <c r="C135" s="20"/>
      <c r="D135" s="20"/>
      <c r="E135" s="20"/>
    </row>
    <row r="136" spans="2:26" x14ac:dyDescent="0.25">
      <c r="B136" s="65"/>
    </row>
    <row r="137" spans="2:26" x14ac:dyDescent="0.25">
      <c r="B137" s="36" t="s">
        <v>94</v>
      </c>
      <c r="C137" s="36">
        <f>+[1]BALANZA!B4</f>
        <v>2024</v>
      </c>
      <c r="D137" s="36">
        <f>+[1]BALANZA!C4</f>
        <v>2023</v>
      </c>
      <c r="E137" s="36" t="s">
        <v>95</v>
      </c>
    </row>
    <row r="138" spans="2:26" hidden="1" x14ac:dyDescent="0.25">
      <c r="B138" s="66" t="s">
        <v>107</v>
      </c>
      <c r="C138" s="67">
        <f>+'[1]BALANZA G'!C15</f>
        <v>80000</v>
      </c>
      <c r="D138" s="68">
        <f>+'[1]BALANZA G'!D15</f>
        <v>80000</v>
      </c>
      <c r="E138" s="69">
        <f>+C138-D138</f>
        <v>0</v>
      </c>
    </row>
    <row r="139" spans="2:26" x14ac:dyDescent="0.25">
      <c r="B139" s="66" t="s">
        <v>108</v>
      </c>
      <c r="C139" s="70">
        <f>+'[1]BALANZA G'!C30</f>
        <v>0</v>
      </c>
      <c r="D139" s="71">
        <f>+'[1]BALANZA G'!D30</f>
        <v>453000</v>
      </c>
      <c r="E139" s="72">
        <f>+C139-D139</f>
        <v>-453000</v>
      </c>
    </row>
    <row r="140" spans="2:26" x14ac:dyDescent="0.25">
      <c r="B140" s="73" t="s">
        <v>109</v>
      </c>
      <c r="C140" s="48">
        <f>SUM(C139:C139)</f>
        <v>0</v>
      </c>
      <c r="D140" s="74">
        <f>SUM(D139:D139)</f>
        <v>453000</v>
      </c>
      <c r="E140" s="48">
        <f>SUM(E138:E139)</f>
        <v>-453000</v>
      </c>
      <c r="R140" s="4" t="str">
        <f>+CONCATENATE(S140,",",T140,U140,".00")</f>
        <v>0,.00</v>
      </c>
      <c r="S140" s="4" t="str">
        <f>MID(C140,1,3)</f>
        <v>0</v>
      </c>
      <c r="T140" s="4" t="str">
        <f>MID(C139,4,3)</f>
        <v/>
      </c>
      <c r="U140" s="4" t="str">
        <f>MID(D139,7,3)</f>
        <v/>
      </c>
    </row>
    <row r="141" spans="2:26" x14ac:dyDescent="0.25">
      <c r="B141" s="75"/>
      <c r="C141" s="76">
        <f>+C140-'[1]ES F '!B12</f>
        <v>0</v>
      </c>
      <c r="D141" s="77"/>
      <c r="E141" s="76"/>
      <c r="R141" s="4" t="str">
        <f>+CONCATENATE(S141,",",T141,U141,".00")</f>
        <v>453,0000.00</v>
      </c>
      <c r="S141" s="4" t="str">
        <f>MID(D140,1,3)</f>
        <v>453</v>
      </c>
      <c r="T141" s="4" t="str">
        <f>MID(D140,4,3)</f>
        <v>000</v>
      </c>
      <c r="U141" s="4" t="str">
        <f>MID(E140,7,3)</f>
        <v>0</v>
      </c>
    </row>
    <row r="142" spans="2:26" s="45" customFormat="1" x14ac:dyDescent="0.25">
      <c r="B142" s="55" t="str">
        <f>("Cambio porcentual con relación al "&amp;$D$115&amp;".")</f>
        <v>Cambio porcentual con relación al 2023.</v>
      </c>
      <c r="C142" s="56"/>
      <c r="D142" s="78" t="str">
        <f>IF(E142&gt;=0,"Aumento","Disminución")</f>
        <v>Disminución</v>
      </c>
      <c r="E142" s="58">
        <f>+E140/D140</f>
        <v>-1</v>
      </c>
      <c r="J142" s="49"/>
      <c r="N142" s="49"/>
      <c r="R142" s="50"/>
      <c r="S142" s="50"/>
      <c r="T142" s="50"/>
      <c r="U142" s="50"/>
      <c r="V142" s="50"/>
      <c r="W142" s="50"/>
      <c r="X142" s="50"/>
      <c r="Y142" s="50"/>
      <c r="Z142" s="49"/>
    </row>
    <row r="143" spans="2:26" s="45" customFormat="1" x14ac:dyDescent="0.25">
      <c r="B143" s="62"/>
      <c r="C143" s="62"/>
      <c r="D143" s="60"/>
      <c r="E143" s="63"/>
      <c r="J143" s="49"/>
      <c r="N143" s="49"/>
      <c r="R143" s="50"/>
      <c r="S143" s="50"/>
      <c r="T143" s="50"/>
      <c r="U143" s="50"/>
      <c r="V143" s="50"/>
      <c r="W143" s="50"/>
      <c r="X143" s="50"/>
      <c r="Y143" s="50"/>
      <c r="Z143" s="49"/>
    </row>
    <row r="144" spans="2:26" x14ac:dyDescent="0.25">
      <c r="B144" s="65" t="s">
        <v>110</v>
      </c>
    </row>
    <row r="145" spans="1:26" ht="18.75" customHeight="1" x14ac:dyDescent="0.25">
      <c r="B145" s="64" t="s">
        <v>111</v>
      </c>
      <c r="C145" s="64"/>
      <c r="D145" s="64"/>
      <c r="E145" s="64"/>
    </row>
    <row r="146" spans="1:26" ht="36" customHeight="1" x14ac:dyDescent="0.25">
      <c r="B146" s="14" t="str">
        <f>("Un detalle de las "&amp;B145&amp;" al "&amp;[1]BALANZA!$B$3&amp;""&amp;[1]BALANZA!$C$3&amp;" es como se detalla a continuación:")</f>
        <v>Un detalle de las Cuentas por cobrar a corto plazo al 30 de Noviembre del 2024- 2023 es como se detalla a continuación:</v>
      </c>
      <c r="C146" s="32"/>
      <c r="D146" s="32"/>
      <c r="E146" s="32"/>
      <c r="L146" s="2" t="s">
        <v>112</v>
      </c>
    </row>
    <row r="147" spans="1:26" ht="51" customHeight="1" x14ac:dyDescent="0.25">
      <c r="A147" s="79"/>
      <c r="B147" s="80" t="str">
        <f>("Las Cuentas por cobrar  están representados por las partidas  Cuentas por cobrar Empleados, Para el "&amp;C148&amp;" el monto total de estas partidas fue por RD$ "&amp;R151&amp;" y para el "&amp;D148&amp;" el monto era RD$ "&amp;R152&amp;"  ,   de Según el siguiente detalle:")</f>
        <v>Las Cuentas por cobrar  están representados por las partidas  Cuentas por cobrar Empleados, Para el 2024 el monto total de estas partidas fue por RD$ 1,350.12 y para el 2023 el monto era RD$ 13,209,579.00  ,   de Según el siguiente detalle:</v>
      </c>
      <c r="C147" s="80"/>
      <c r="D147" s="80"/>
      <c r="E147" s="80"/>
    </row>
    <row r="148" spans="1:26" x14ac:dyDescent="0.25">
      <c r="B148" s="33" t="s">
        <v>94</v>
      </c>
      <c r="C148" s="33">
        <f>+C358</f>
        <v>2024</v>
      </c>
      <c r="D148" s="33">
        <f>+D358</f>
        <v>2023</v>
      </c>
      <c r="E148" s="33" t="s">
        <v>95</v>
      </c>
    </row>
    <row r="149" spans="1:26" ht="17.25" customHeight="1" x14ac:dyDescent="0.25">
      <c r="B149" s="41" t="s">
        <v>113</v>
      </c>
      <c r="C149" s="81">
        <f>+'[1]BALANZA G'!C34-C150</f>
        <v>0</v>
      </c>
      <c r="D149" s="82">
        <v>13208228.880000001</v>
      </c>
      <c r="E149" s="83">
        <f>+C149-D149</f>
        <v>-13208228.880000001</v>
      </c>
    </row>
    <row r="150" spans="1:26" x14ac:dyDescent="0.25">
      <c r="B150" s="41" t="s">
        <v>114</v>
      </c>
      <c r="C150" s="84">
        <f>+'[1]BALANZA G'!C35</f>
        <v>1350.12</v>
      </c>
      <c r="D150" s="39">
        <f>+'[1]BALANZA G'!D34-D149</f>
        <v>1350.1199999991804</v>
      </c>
      <c r="E150" s="83">
        <f>+C150-D150</f>
        <v>8.1945472629740834E-10</v>
      </c>
    </row>
    <row r="151" spans="1:26" x14ac:dyDescent="0.25">
      <c r="B151" s="85" t="s">
        <v>115</v>
      </c>
      <c r="C151" s="47">
        <f>SUM(C149:C150)</f>
        <v>1350.12</v>
      </c>
      <c r="D151" s="47">
        <f>SUM(D149:D150)</f>
        <v>13209579</v>
      </c>
      <c r="E151" s="47">
        <f>SUM(E149:E150)</f>
        <v>-13208228.880000001</v>
      </c>
      <c r="R151" s="4" t="str">
        <f>+CONCATENATE(S151,",",T151,U151,"")</f>
        <v>1,350.12</v>
      </c>
      <c r="S151" s="4" t="str">
        <f>MID(C151,1,1)</f>
        <v>1</v>
      </c>
      <c r="T151" s="4" t="str">
        <f>MID(C151,2,3)</f>
        <v>350</v>
      </c>
      <c r="U151" s="4" t="str">
        <f>MID(C151,5,3)</f>
        <v>.12</v>
      </c>
      <c r="V151" s="4" t="str">
        <f>MID(C151,9,3)</f>
        <v/>
      </c>
    </row>
    <row r="152" spans="1:26" x14ac:dyDescent="0.25">
      <c r="B152" s="86"/>
      <c r="C152" s="87"/>
      <c r="D152" s="88"/>
      <c r="E152" s="89"/>
      <c r="R152" s="4" t="str">
        <f>+CONCATENATE(S152,",",T152,",",U152,V152,".00")</f>
        <v>13,209,579.00</v>
      </c>
      <c r="S152" s="4" t="str">
        <f>MID(D151,1,2)</f>
        <v>13</v>
      </c>
      <c r="T152" s="4" t="str">
        <f>MID(D151,3,3)</f>
        <v>209</v>
      </c>
      <c r="U152" s="4" t="str">
        <f>MID(D151,6,3)</f>
        <v>579</v>
      </c>
      <c r="V152" s="4" t="str">
        <f>MID(D151,9,3)</f>
        <v/>
      </c>
    </row>
    <row r="153" spans="1:26" s="45" customFormat="1" x14ac:dyDescent="0.25">
      <c r="B153" s="55" t="str">
        <f>("Cambio porcentual con relación al "&amp;$D$115&amp;".")</f>
        <v>Cambio porcentual con relación al 2023.</v>
      </c>
      <c r="C153" s="56"/>
      <c r="D153" s="57" t="str">
        <f>IF(E153&gt;=0,"Aumento","Disminución")</f>
        <v>Disminución</v>
      </c>
      <c r="E153" s="90">
        <f>IFERROR(+E151/D151,0)</f>
        <v>-0.99989779235205001</v>
      </c>
      <c r="J153" s="49"/>
      <c r="N153" s="49"/>
      <c r="R153" s="50"/>
      <c r="S153" s="50"/>
      <c r="T153" s="50"/>
      <c r="U153" s="50"/>
      <c r="V153" s="50"/>
      <c r="W153" s="50"/>
      <c r="X153" s="50"/>
      <c r="Y153" s="50"/>
      <c r="Z153" s="49"/>
    </row>
    <row r="154" spans="1:26" ht="9" customHeight="1" x14ac:dyDescent="0.25">
      <c r="B154" s="91"/>
    </row>
    <row r="155" spans="1:26" ht="61.5" customHeight="1" x14ac:dyDescent="0.25">
      <c r="B155" s="92" t="s">
        <v>116</v>
      </c>
      <c r="C155" s="92"/>
      <c r="D155" s="92"/>
      <c r="E155" s="92"/>
    </row>
    <row r="156" spans="1:26" x14ac:dyDescent="0.25">
      <c r="B156" s="91"/>
    </row>
    <row r="157" spans="1:26" x14ac:dyDescent="0.25">
      <c r="B157" s="64" t="s">
        <v>117</v>
      </c>
      <c r="C157" s="64"/>
      <c r="D157" s="64"/>
      <c r="E157" s="64"/>
    </row>
    <row r="158" spans="1:26" x14ac:dyDescent="0.25">
      <c r="B158" s="64" t="s">
        <v>118</v>
      </c>
      <c r="C158" s="64"/>
      <c r="D158" s="64"/>
      <c r="E158" s="64"/>
    </row>
    <row r="159" spans="1:26" ht="18.75" customHeight="1" x14ac:dyDescent="0.25">
      <c r="B159" s="14" t="str">
        <f>("Un detalle de las "&amp;B158&amp;" al "&amp;[1]BALANZA!$B$3&amp;""&amp;[1]BALANZA!$C$3&amp;" es como se detalla a continuación:")</f>
        <v>Un detalle de las Inventario al 30 de Noviembre del 2024- 2023 es como se detalla a continuación:</v>
      </c>
      <c r="C159" s="32"/>
      <c r="D159" s="32"/>
      <c r="E159" s="32"/>
    </row>
    <row r="160" spans="1:26" ht="36" customHeight="1" x14ac:dyDescent="0.25">
      <c r="B160" s="20" t="str">
        <f>("Los  inventarios están representados por las partidas de materiales en existencia, Para el "&amp;[1]BALANZA!B4&amp;" RD$ "&amp;R165&amp;" y para el "&amp;[1]BALANZA!C4&amp;" RD$ "&amp;R166&amp;", Según el siguiente detalle:")</f>
        <v>Los  inventarios están representados por las partidas de materiales en existencia, Para el 2024 RD$ 35,841,427.40 y para el 2023 RD$ 23,878,010.00, Según el siguiente detalle:</v>
      </c>
      <c r="C160" s="20"/>
      <c r="D160" s="20"/>
      <c r="E160" s="20"/>
    </row>
    <row r="161" spans="2:26" ht="7.5" customHeight="1" x14ac:dyDescent="0.25">
      <c r="B161" s="91"/>
    </row>
    <row r="162" spans="2:26" x14ac:dyDescent="0.25">
      <c r="B162" s="33" t="s">
        <v>94</v>
      </c>
      <c r="C162" s="33">
        <f>+C358</f>
        <v>2024</v>
      </c>
      <c r="D162" s="33">
        <f>+D358</f>
        <v>2023</v>
      </c>
      <c r="E162" s="33" t="s">
        <v>95</v>
      </c>
    </row>
    <row r="163" spans="2:26" hidden="1" x14ac:dyDescent="0.25">
      <c r="B163" s="41" t="s">
        <v>107</v>
      </c>
      <c r="C163" s="84">
        <f>+'[1]BALANZA G'!C40</f>
        <v>0</v>
      </c>
      <c r="D163" s="39">
        <f>+'[1]BALANZA G'!D40</f>
        <v>0</v>
      </c>
      <c r="E163" s="93">
        <f>+C163-D163</f>
        <v>0</v>
      </c>
    </row>
    <row r="164" spans="2:26" ht="30" x14ac:dyDescent="0.25">
      <c r="B164" s="41" t="s">
        <v>119</v>
      </c>
      <c r="C164" s="84">
        <f>+'[1]BALANZA G'!C41</f>
        <v>35841427.399999999</v>
      </c>
      <c r="D164" s="94">
        <f>+'[1]BALANZA G'!D41</f>
        <v>23878010</v>
      </c>
      <c r="E164" s="95">
        <f>+C164-D164</f>
        <v>11963417.399999999</v>
      </c>
    </row>
    <row r="165" spans="2:26" x14ac:dyDescent="0.25">
      <c r="B165" s="85" t="s">
        <v>120</v>
      </c>
      <c r="C165" s="47">
        <f>SUM(C163:C164)</f>
        <v>35841427.399999999</v>
      </c>
      <c r="D165" s="96">
        <f>SUM(D163:D164)</f>
        <v>23878010</v>
      </c>
      <c r="E165" s="47">
        <f>SUM(E163:E164)</f>
        <v>11963417.399999999</v>
      </c>
      <c r="R165" s="4" t="str">
        <f>+CONCATENATE(S165,",",T165,",",U165,V165,AB165,"0")</f>
        <v>35,841,427.40</v>
      </c>
      <c r="S165" s="4" t="str">
        <f>MID(C165,1,2)</f>
        <v>35</v>
      </c>
      <c r="T165" s="4" t="str">
        <f>MID(C165,3,3)</f>
        <v>841</v>
      </c>
      <c r="U165" s="4" t="str">
        <f>MID(C165,6,3)</f>
        <v>427</v>
      </c>
      <c r="V165" s="4" t="str">
        <f>MID(C165,9,3)</f>
        <v>.4</v>
      </c>
    </row>
    <row r="166" spans="2:26" x14ac:dyDescent="0.25">
      <c r="B166" s="86"/>
      <c r="C166" s="97">
        <f>+C165-'[1]ES F '!B15</f>
        <v>0</v>
      </c>
      <c r="D166" s="88"/>
      <c r="E166" s="89"/>
      <c r="R166" s="4" t="str">
        <f>+CONCATENATE(S166,",",T166,",",U166,V166,".00")</f>
        <v>23,878,010.00</v>
      </c>
      <c r="S166" s="4" t="str">
        <f>MID(D165,1,2)</f>
        <v>23</v>
      </c>
      <c r="T166" s="4" t="str">
        <f>MID(D165,3,3)</f>
        <v>878</v>
      </c>
      <c r="U166" s="4" t="str">
        <f>MID(D165,6,3)</f>
        <v>010</v>
      </c>
      <c r="V166" s="4" t="str">
        <f>MID(D165,9,3)</f>
        <v/>
      </c>
    </row>
    <row r="167" spans="2:26" s="45" customFormat="1" x14ac:dyDescent="0.25">
      <c r="B167" s="55" t="str">
        <f>("Cambio porcentual con relación al "&amp;$D$115&amp;".")</f>
        <v>Cambio porcentual con relación al 2023.</v>
      </c>
      <c r="C167" s="56"/>
      <c r="D167" s="57" t="str">
        <f>IF(E167&gt;=0,"Aumento","Disminución")</f>
        <v>Aumento</v>
      </c>
      <c r="E167" s="90">
        <f>IFERROR((+E165/D165),0)</f>
        <v>0.50102238000570398</v>
      </c>
      <c r="J167" s="49"/>
      <c r="N167" s="49"/>
      <c r="R167" s="50"/>
      <c r="S167" s="50"/>
      <c r="T167" s="50"/>
      <c r="U167" s="50"/>
      <c r="V167" s="50"/>
      <c r="W167" s="50"/>
      <c r="X167" s="50"/>
      <c r="Y167" s="50"/>
      <c r="Z167" s="49"/>
    </row>
    <row r="168" spans="2:26" x14ac:dyDescent="0.25">
      <c r="B168" s="91"/>
    </row>
    <row r="169" spans="2:26" ht="16.5" customHeight="1" x14ac:dyDescent="0.25">
      <c r="B169" s="20"/>
      <c r="C169" s="20"/>
      <c r="D169" s="20"/>
      <c r="E169" s="20"/>
    </row>
    <row r="170" spans="2:26" ht="16.5" customHeight="1" x14ac:dyDescent="0.25">
      <c r="B170" s="16"/>
      <c r="C170" s="16"/>
      <c r="D170" s="16"/>
      <c r="E170" s="16"/>
    </row>
    <row r="171" spans="2:26" ht="16.5" customHeight="1" x14ac:dyDescent="0.25">
      <c r="B171" s="16"/>
      <c r="C171" s="16"/>
      <c r="D171" s="16"/>
      <c r="E171" s="16"/>
    </row>
    <row r="172" spans="2:26" ht="16.5" customHeight="1" x14ac:dyDescent="0.25">
      <c r="B172" s="16"/>
      <c r="C172" s="16"/>
      <c r="D172" s="16"/>
      <c r="E172" s="16"/>
    </row>
    <row r="173" spans="2:26" ht="16.5" customHeight="1" x14ac:dyDescent="0.25">
      <c r="B173" s="65" t="s">
        <v>121</v>
      </c>
      <c r="C173" s="16"/>
      <c r="D173" s="31"/>
      <c r="E173" s="16"/>
    </row>
    <row r="174" spans="2:26" ht="16.5" customHeight="1" x14ac:dyDescent="0.25">
      <c r="B174" s="65" t="s">
        <v>122</v>
      </c>
      <c r="C174" s="16"/>
      <c r="D174" s="31"/>
      <c r="E174" s="16"/>
    </row>
    <row r="175" spans="2:26" ht="27.75" customHeight="1" x14ac:dyDescent="0.25">
      <c r="B175" s="14" t="str">
        <f>("Un detalle del "&amp;B174&amp;" al "&amp;[1]BALANZA!$B$3&amp;" "&amp;[1]BALANZA!$C$3&amp;" es como se detalla a continuación:")</f>
        <v>Un detalle del Pagos anticipados al 30 de Noviembre del 2024 - 2023 es como se detalla a continuación:</v>
      </c>
      <c r="C175" s="32"/>
      <c r="D175" s="32"/>
      <c r="E175" s="32"/>
    </row>
    <row r="176" spans="2:26" ht="41.25" customHeight="1" x14ac:dyDescent="0.25">
      <c r="B176" s="20" t="str">
        <f>("Los  pagos anticipados están representados por las partidas de seguros pagados por adelantado, Para el "&amp;[1]BALANZA!B4&amp;" el monto ascendio  a RD$ "&amp;R184&amp;" y para el "&amp;[1]BALANZA!C4&amp;" el monto era RD$ "&amp;R185&amp;", Según el siguiente detalle:")</f>
        <v>Los  pagos anticipados están representados por las partidas de seguros pagados por adelantado, Para el 2024 el monto ascendio  a RD$ 469,229.72 y para el 2023 el monto era RD$ 373,212.74, Según el siguiente detalle:</v>
      </c>
      <c r="C176" s="20"/>
      <c r="D176" s="20"/>
      <c r="E176" s="20"/>
    </row>
    <row r="177" spans="2:26" x14ac:dyDescent="0.25">
      <c r="B177" s="91"/>
    </row>
    <row r="178" spans="2:26" x14ac:dyDescent="0.25">
      <c r="B178" s="33" t="s">
        <v>94</v>
      </c>
      <c r="C178" s="36">
        <f>+C162</f>
        <v>2024</v>
      </c>
      <c r="D178" s="36">
        <f>+D162</f>
        <v>2023</v>
      </c>
      <c r="E178" s="33" t="s">
        <v>95</v>
      </c>
    </row>
    <row r="179" spans="2:26" ht="15" customHeight="1" x14ac:dyDescent="0.25">
      <c r="B179" s="41" t="s">
        <v>123</v>
      </c>
      <c r="C179" s="84">
        <f>+D183</f>
        <v>373212.74</v>
      </c>
      <c r="D179" s="39">
        <f>+D183-D181-D180</f>
        <v>628548.76</v>
      </c>
      <c r="E179" s="83">
        <f>+C179-D179</f>
        <v>-255336.02000000002</v>
      </c>
    </row>
    <row r="180" spans="2:26" ht="15" customHeight="1" x14ac:dyDescent="0.25">
      <c r="B180" s="41" t="s">
        <v>124</v>
      </c>
      <c r="C180" s="98">
        <f>+C183-C179-C181</f>
        <v>706221.22</v>
      </c>
      <c r="D180" s="39">
        <f>205890.43+32007.08</f>
        <v>237897.51</v>
      </c>
      <c r="E180" s="83">
        <f>+C180-D180</f>
        <v>468323.70999999996</v>
      </c>
    </row>
    <row r="181" spans="2:26" ht="15" customHeight="1" x14ac:dyDescent="0.25">
      <c r="B181" s="41" t="s">
        <v>125</v>
      </c>
      <c r="C181" s="99">
        <f>-'[1]Notas NF'!C598</f>
        <v>-610204.24</v>
      </c>
      <c r="D181" s="99">
        <f>-'[1]Notas NF'!D598</f>
        <v>-493233.52999999997</v>
      </c>
      <c r="E181" s="83">
        <f>+C181-D181</f>
        <v>-116970.71000000002</v>
      </c>
      <c r="U181" s="100"/>
    </row>
    <row r="182" spans="2:26" ht="15" customHeight="1" x14ac:dyDescent="0.25">
      <c r="B182" s="41"/>
      <c r="C182" s="84"/>
      <c r="D182" s="84"/>
      <c r="E182" s="83"/>
    </row>
    <row r="183" spans="2:26" x14ac:dyDescent="0.25">
      <c r="B183" s="41" t="s">
        <v>126</v>
      </c>
      <c r="C183" s="84">
        <f>+'[1]BALANZA G'!C48</f>
        <v>469229.72</v>
      </c>
      <c r="D183" s="94">
        <f>+'[1]BALANZA G'!D48</f>
        <v>373212.74</v>
      </c>
      <c r="E183" s="83">
        <f>+C183-D183</f>
        <v>96016.979999999981</v>
      </c>
    </row>
    <row r="184" spans="2:26" x14ac:dyDescent="0.25">
      <c r="B184" s="85" t="s">
        <v>127</v>
      </c>
      <c r="C184" s="47">
        <f>SUM(C183:C183)</f>
        <v>469229.72</v>
      </c>
      <c r="D184" s="47">
        <f>SUM(D183:D183)</f>
        <v>373212.74</v>
      </c>
      <c r="E184" s="101">
        <f>+C184-D184</f>
        <v>96016.979999999981</v>
      </c>
      <c r="R184" s="4" t="str">
        <f>+CONCATENATE(S184,",",T184,U184,"")</f>
        <v>469,229.72</v>
      </c>
      <c r="S184" s="4" t="str">
        <f>MID(C184,1,3)</f>
        <v>469</v>
      </c>
      <c r="T184" s="4" t="str">
        <f>MID(C184,4,3)</f>
        <v>229</v>
      </c>
      <c r="U184" s="4" t="str">
        <f>MID(C184,7,3)</f>
        <v>.72</v>
      </c>
    </row>
    <row r="185" spans="2:26" x14ac:dyDescent="0.25">
      <c r="B185" s="102"/>
      <c r="C185" s="103">
        <f>+C184-'[1]ES F '!B16</f>
        <v>0</v>
      </c>
      <c r="D185" s="104"/>
      <c r="E185" s="105"/>
      <c r="R185" s="4" t="str">
        <f>+CONCATENATE(S185,",",T185,U185)</f>
        <v>373,212.74</v>
      </c>
      <c r="S185" s="4" t="str">
        <f>MID(D184,1,3)</f>
        <v>373</v>
      </c>
      <c r="T185" s="4" t="str">
        <f>MID(D184,4,3)</f>
        <v>212</v>
      </c>
      <c r="U185" s="4" t="str">
        <f>MID(D184,7,3)</f>
        <v>.74</v>
      </c>
    </row>
    <row r="186" spans="2:26" s="45" customFormat="1" x14ac:dyDescent="0.25">
      <c r="B186" s="55" t="str">
        <f>("Cambio porcentual con relación al "&amp;$D$115&amp;".")</f>
        <v>Cambio porcentual con relación al 2023.</v>
      </c>
      <c r="C186" s="56"/>
      <c r="D186" s="57" t="str">
        <f>IF(E186&gt;=0,"Aumento","Disminución")</f>
        <v>Aumento</v>
      </c>
      <c r="E186" s="90">
        <f>IFERROR((+E184/D184),0)</f>
        <v>0.25727144255579265</v>
      </c>
      <c r="J186" s="49"/>
      <c r="N186" s="49"/>
      <c r="R186" s="50"/>
      <c r="S186" s="50"/>
      <c r="T186" s="50"/>
      <c r="U186" s="50"/>
      <c r="V186" s="50"/>
      <c r="W186" s="50"/>
      <c r="X186" s="50"/>
      <c r="Y186" s="50"/>
      <c r="Z186" s="49"/>
    </row>
    <row r="187" spans="2:26" ht="16.5" customHeight="1" x14ac:dyDescent="0.25">
      <c r="B187" s="65"/>
      <c r="C187" s="16"/>
      <c r="D187" s="31"/>
      <c r="E187" s="16"/>
    </row>
    <row r="188" spans="2:26" ht="16.5" customHeight="1" x14ac:dyDescent="0.25">
      <c r="B188" s="65"/>
      <c r="C188" s="106"/>
      <c r="D188" s="31"/>
      <c r="E188" s="16"/>
    </row>
    <row r="189" spans="2:26" ht="14.25" customHeight="1" x14ac:dyDescent="0.25">
      <c r="B189" s="65" t="s">
        <v>128</v>
      </c>
      <c r="C189" s="106"/>
      <c r="D189" s="31"/>
      <c r="E189" s="16"/>
    </row>
    <row r="190" spans="2:26" x14ac:dyDescent="0.25">
      <c r="B190" s="65" t="s">
        <v>129</v>
      </c>
    </row>
    <row r="191" spans="2:26" ht="28.5" customHeight="1" x14ac:dyDescent="0.25">
      <c r="B191" s="14" t="str">
        <f>("Un detalle de "&amp;B190&amp;" al "&amp;[1]BALANZA!$B$3&amp;" "&amp;[1]BALANZA!$C$3&amp;" es como se detalla a continuación:")</f>
        <v>Un detalle de Otros activos corrientes al 30 de Noviembre del 2024 - 2023 es como se detalla a continuación:</v>
      </c>
      <c r="C191" s="32"/>
      <c r="D191" s="32"/>
      <c r="E191" s="32"/>
    </row>
    <row r="192" spans="2:26" ht="49.5" customHeight="1" x14ac:dyDescent="0.25">
      <c r="B192" s="20" t="str">
        <f>("Los depósitos o fianzas por los alquileres de locales de CORAAMOCA, vigentes, están registrado en el Estado de Balance General, dentro  de la partida de otros activos, en  periodos "&amp;[1]BALANZA!B4&amp;" el valor estaba en RD$ "&amp;R209&amp;".  Según detalles:")</f>
        <v>Los depósitos o fianzas por los alquileres de locales de CORAAMOCA, vigentes, están registrado en el Estado de Balance General, dentro  de la partida de otros activos, en  periodos 2024 el valor estaba en RD$ 193,172.00.  Según detalles:</v>
      </c>
      <c r="C192" s="20"/>
      <c r="D192" s="20"/>
      <c r="E192" s="20"/>
    </row>
    <row r="193" spans="2:26" ht="14.25" customHeight="1" x14ac:dyDescent="0.25">
      <c r="B193" s="107"/>
    </row>
    <row r="194" spans="2:26" s="108" customFormat="1" ht="19.5" hidden="1" customHeight="1" x14ac:dyDescent="0.25">
      <c r="B194" s="33" t="s">
        <v>130</v>
      </c>
      <c r="C194" s="33" t="s">
        <v>131</v>
      </c>
      <c r="D194" s="109" t="s">
        <v>132</v>
      </c>
      <c r="E194" s="34" t="s">
        <v>133</v>
      </c>
      <c r="J194" s="110"/>
      <c r="N194" s="110"/>
      <c r="R194" s="111"/>
      <c r="S194" s="111"/>
      <c r="T194" s="111"/>
      <c r="U194" s="111"/>
      <c r="V194" s="111"/>
      <c r="W194" s="111"/>
      <c r="X194" s="111"/>
      <c r="Y194" s="111"/>
      <c r="Z194" s="110"/>
    </row>
    <row r="195" spans="2:26" hidden="1" x14ac:dyDescent="0.25">
      <c r="B195" s="112" t="s">
        <v>134</v>
      </c>
      <c r="C195" s="113" t="s">
        <v>135</v>
      </c>
      <c r="D195" s="114">
        <v>12000</v>
      </c>
      <c r="E195" s="115">
        <f>+D195</f>
        <v>12000</v>
      </c>
    </row>
    <row r="196" spans="2:26" hidden="1" x14ac:dyDescent="0.25">
      <c r="B196" s="112" t="s">
        <v>136</v>
      </c>
      <c r="C196" s="113" t="s">
        <v>137</v>
      </c>
      <c r="D196" s="114">
        <v>21000</v>
      </c>
      <c r="E196" s="115">
        <f t="shared" ref="E196:E203" si="1">+D196</f>
        <v>21000</v>
      </c>
    </row>
    <row r="197" spans="2:26" hidden="1" x14ac:dyDescent="0.25">
      <c r="B197" s="112" t="s">
        <v>138</v>
      </c>
      <c r="C197" s="113" t="s">
        <v>139</v>
      </c>
      <c r="D197" s="114">
        <v>28500</v>
      </c>
      <c r="E197" s="115">
        <f t="shared" si="1"/>
        <v>28500</v>
      </c>
    </row>
    <row r="198" spans="2:26" hidden="1" x14ac:dyDescent="0.25">
      <c r="B198" s="112" t="s">
        <v>140</v>
      </c>
      <c r="C198" s="113" t="s">
        <v>141</v>
      </c>
      <c r="D198" s="114">
        <v>33336</v>
      </c>
      <c r="E198" s="115">
        <f t="shared" si="1"/>
        <v>33336</v>
      </c>
    </row>
    <row r="199" spans="2:26" hidden="1" x14ac:dyDescent="0.25">
      <c r="B199" s="116" t="s">
        <v>142</v>
      </c>
      <c r="C199" s="117" t="s">
        <v>143</v>
      </c>
      <c r="D199" s="118">
        <v>20000</v>
      </c>
      <c r="E199" s="115">
        <f t="shared" si="1"/>
        <v>20000</v>
      </c>
    </row>
    <row r="200" spans="2:26" hidden="1" x14ac:dyDescent="0.25">
      <c r="B200" s="116" t="s">
        <v>144</v>
      </c>
      <c r="C200" s="117" t="s">
        <v>145</v>
      </c>
      <c r="D200" s="118">
        <v>18000</v>
      </c>
      <c r="E200" s="115">
        <f t="shared" si="1"/>
        <v>18000</v>
      </c>
    </row>
    <row r="201" spans="2:26" hidden="1" x14ac:dyDescent="0.25">
      <c r="B201" s="116" t="s">
        <v>146</v>
      </c>
      <c r="C201" s="117" t="s">
        <v>147</v>
      </c>
      <c r="D201" s="118">
        <v>33336</v>
      </c>
      <c r="E201" s="115">
        <f t="shared" si="1"/>
        <v>33336</v>
      </c>
    </row>
    <row r="202" spans="2:26" hidden="1" x14ac:dyDescent="0.25">
      <c r="B202" s="116" t="s">
        <v>148</v>
      </c>
      <c r="C202" s="117" t="s">
        <v>149</v>
      </c>
      <c r="D202" s="118">
        <v>27000</v>
      </c>
      <c r="E202" s="115">
        <v>27000</v>
      </c>
    </row>
    <row r="203" spans="2:26" hidden="1" x14ac:dyDescent="0.25">
      <c r="B203" s="116"/>
      <c r="C203" s="117"/>
      <c r="D203" s="118"/>
      <c r="E203" s="115">
        <f t="shared" si="1"/>
        <v>0</v>
      </c>
    </row>
    <row r="204" spans="2:26" hidden="1" x14ac:dyDescent="0.25">
      <c r="B204" s="119" t="s">
        <v>150</v>
      </c>
      <c r="C204" s="119"/>
      <c r="D204" s="120"/>
      <c r="E204" s="121">
        <f>SUM(E195:E203)</f>
        <v>193172</v>
      </c>
    </row>
    <row r="205" spans="2:26" hidden="1" x14ac:dyDescent="0.25">
      <c r="B205" s="122"/>
      <c r="C205" s="122"/>
      <c r="D205" s="123"/>
      <c r="E205" s="87">
        <f>+E204-'[1]ES F '!B17</f>
        <v>0</v>
      </c>
    </row>
    <row r="206" spans="2:26" ht="26.25" customHeight="1" x14ac:dyDescent="0.25">
      <c r="B206" s="33" t="s">
        <v>94</v>
      </c>
      <c r="C206" s="33">
        <f>+C148</f>
        <v>2024</v>
      </c>
      <c r="D206" s="33">
        <f>+D148</f>
        <v>2023</v>
      </c>
      <c r="E206" s="33" t="s">
        <v>95</v>
      </c>
    </row>
    <row r="207" spans="2:26" ht="15.75" hidden="1" customHeight="1" x14ac:dyDescent="0.25">
      <c r="B207" s="41" t="s">
        <v>107</v>
      </c>
      <c r="C207" s="84">
        <v>0</v>
      </c>
      <c r="D207" s="39">
        <v>0</v>
      </c>
      <c r="E207" s="93">
        <f>+C207-D207</f>
        <v>0</v>
      </c>
    </row>
    <row r="208" spans="2:26" x14ac:dyDescent="0.25">
      <c r="B208" s="41" t="s">
        <v>151</v>
      </c>
      <c r="C208" s="94">
        <f>+E204</f>
        <v>193172</v>
      </c>
      <c r="D208" s="94">
        <f>+E204+10500-18000+13500-6000</f>
        <v>193172</v>
      </c>
      <c r="E208" s="3">
        <f>+C208-D208</f>
        <v>0</v>
      </c>
    </row>
    <row r="209" spans="2:26" s="124" customFormat="1" x14ac:dyDescent="0.25">
      <c r="B209" s="73" t="s">
        <v>152</v>
      </c>
      <c r="C209" s="74">
        <f>SUM(C207:C208)</f>
        <v>193172</v>
      </c>
      <c r="D209" s="74">
        <f>SUM(D207:D208)</f>
        <v>193172</v>
      </c>
      <c r="E209" s="74">
        <f>SUM(E207:E208)</f>
        <v>0</v>
      </c>
      <c r="J209" s="125"/>
      <c r="N209" s="125"/>
      <c r="R209" s="4" t="str">
        <f>+CONCATENATE(S209,",",T209,".00")</f>
        <v>193,172.00</v>
      </c>
      <c r="S209" s="4" t="str">
        <f>MID(C209,1,3)</f>
        <v>193</v>
      </c>
      <c r="T209" s="4" t="str">
        <f>MID(C209,4,3)</f>
        <v>172</v>
      </c>
      <c r="U209" s="4" t="str">
        <f>MID(C209,7,3)</f>
        <v/>
      </c>
      <c r="V209" s="4" t="str">
        <f>MID(C209,9,3)</f>
        <v/>
      </c>
      <c r="W209" s="126"/>
      <c r="X209" s="126"/>
      <c r="Y209" s="126"/>
      <c r="Z209" s="125"/>
    </row>
    <row r="210" spans="2:26" s="124" customFormat="1" x14ac:dyDescent="0.25">
      <c r="B210" s="127"/>
      <c r="C210" s="128">
        <f>+C209-'[1]ES F '!B17</f>
        <v>0</v>
      </c>
      <c r="D210" s="129">
        <f>+D209-'[1]ES F '!C17</f>
        <v>0</v>
      </c>
      <c r="E210" s="128"/>
      <c r="J210" s="125"/>
      <c r="N210" s="125"/>
      <c r="R210" s="4" t="str">
        <f>+CONCATENATE(S210,",",T210,".00")</f>
        <v>193,172.00</v>
      </c>
      <c r="S210" s="4" t="str">
        <f>MID(D209,1,3)</f>
        <v>193</v>
      </c>
      <c r="T210" s="4" t="str">
        <f>MID(D209,4,3)</f>
        <v>172</v>
      </c>
      <c r="U210" s="4" t="str">
        <f>MID(D209,7,3)</f>
        <v/>
      </c>
      <c r="V210" s="4" t="str">
        <f>MID(D209,8,3)</f>
        <v/>
      </c>
      <c r="W210" s="126"/>
      <c r="X210" s="126"/>
      <c r="Y210" s="126"/>
      <c r="Z210" s="125"/>
    </row>
    <row r="211" spans="2:26" s="130" customFormat="1" x14ac:dyDescent="0.25">
      <c r="B211" s="55" t="str">
        <f>("Cambio porcentual con relación al "&amp;$D$115&amp;".")</f>
        <v>Cambio porcentual con relación al 2023.</v>
      </c>
      <c r="C211" s="56"/>
      <c r="D211" s="131" t="str">
        <f>IF(E211&gt;=0,"Aumento","Disminución")</f>
        <v>Aumento</v>
      </c>
      <c r="E211" s="132">
        <f>IFERROR((+E209/D209),0)</f>
        <v>0</v>
      </c>
      <c r="J211" s="133"/>
      <c r="N211" s="133"/>
      <c r="R211" s="134"/>
      <c r="S211" s="134"/>
      <c r="T211" s="134"/>
      <c r="U211" s="134"/>
      <c r="V211" s="134"/>
      <c r="W211" s="134"/>
      <c r="X211" s="134"/>
      <c r="Y211" s="134"/>
      <c r="Z211" s="133"/>
    </row>
    <row r="212" spans="2:26" s="130" customFormat="1" x14ac:dyDescent="0.25">
      <c r="B212" s="135"/>
      <c r="C212" s="135"/>
      <c r="D212" s="136"/>
      <c r="E212" s="137"/>
      <c r="J212" s="133"/>
      <c r="N212" s="133"/>
      <c r="R212" s="134"/>
      <c r="S212" s="134"/>
      <c r="T212" s="134"/>
      <c r="U212" s="134"/>
      <c r="V212" s="134"/>
      <c r="W212" s="134"/>
      <c r="X212" s="134"/>
      <c r="Y212" s="134"/>
      <c r="Z212" s="133"/>
    </row>
    <row r="213" spans="2:26" x14ac:dyDescent="0.25">
      <c r="B213" s="11"/>
    </row>
    <row r="214" spans="2:26" x14ac:dyDescent="0.25">
      <c r="B214" s="11"/>
    </row>
    <row r="215" spans="2:26" x14ac:dyDescent="0.25">
      <c r="B215" s="11"/>
    </row>
    <row r="216" spans="2:26" x14ac:dyDescent="0.25">
      <c r="B216" s="11"/>
    </row>
    <row r="217" spans="2:26" x14ac:dyDescent="0.25">
      <c r="B217" s="11"/>
    </row>
    <row r="218" spans="2:26" x14ac:dyDescent="0.25">
      <c r="B218" s="11"/>
    </row>
    <row r="219" spans="2:26" x14ac:dyDescent="0.25">
      <c r="B219" s="11"/>
    </row>
    <row r="220" spans="2:26" x14ac:dyDescent="0.25">
      <c r="B220" s="11"/>
    </row>
    <row r="221" spans="2:26" x14ac:dyDescent="0.25">
      <c r="B221" s="11"/>
    </row>
    <row r="222" spans="2:26" x14ac:dyDescent="0.25">
      <c r="B222" s="11"/>
    </row>
    <row r="223" spans="2:26" x14ac:dyDescent="0.25">
      <c r="B223" s="11"/>
    </row>
    <row r="224" spans="2:26" x14ac:dyDescent="0.25">
      <c r="B224" s="11"/>
    </row>
    <row r="225" spans="2:5" x14ac:dyDescent="0.25">
      <c r="B225" s="11"/>
    </row>
    <row r="226" spans="2:5" x14ac:dyDescent="0.25">
      <c r="B226" s="11"/>
    </row>
    <row r="227" spans="2:5" x14ac:dyDescent="0.25">
      <c r="B227" s="11"/>
    </row>
    <row r="228" spans="2:5" x14ac:dyDescent="0.25">
      <c r="B228" s="11"/>
    </row>
    <row r="229" spans="2:5" x14ac:dyDescent="0.25">
      <c r="B229" s="11"/>
    </row>
    <row r="230" spans="2:5" x14ac:dyDescent="0.25">
      <c r="B230" s="11"/>
    </row>
    <row r="231" spans="2:5" x14ac:dyDescent="0.25">
      <c r="B231" s="11" t="s">
        <v>153</v>
      </c>
    </row>
    <row r="232" spans="2:5" ht="19.5" customHeight="1" x14ac:dyDescent="0.25">
      <c r="B232" s="12" t="s">
        <v>154</v>
      </c>
      <c r="C232" s="12"/>
      <c r="D232" s="12"/>
      <c r="E232" s="12"/>
    </row>
    <row r="233" spans="2:5" ht="19.5" customHeight="1" x14ac:dyDescent="0.25">
      <c r="B233" s="14" t="str">
        <f>("Un detalle de "&amp;B232&amp;" al "&amp;[1]BALANZA!$B$3&amp;" "&amp;[1]BALANZA!$C$3&amp;" es como se detalla a continuación:")</f>
        <v>Un detalle de Propiedad planta y equipo al 30 de Noviembre del 2024 - 2023 es como se detalla a continuación:</v>
      </c>
      <c r="C233" s="32"/>
      <c r="D233" s="32"/>
      <c r="E233" s="32"/>
    </row>
    <row r="234" spans="2:5" ht="19.5" customHeight="1" x14ac:dyDescent="0.25">
      <c r="B234" s="20" t="s">
        <v>155</v>
      </c>
      <c r="C234" s="20"/>
      <c r="D234" s="20"/>
      <c r="E234" s="20"/>
    </row>
    <row r="235" spans="2:5" ht="91.5" customHeight="1" x14ac:dyDescent="0.25">
      <c r="B235" s="29" t="s">
        <v>156</v>
      </c>
      <c r="C235" s="29"/>
      <c r="D235" s="29"/>
      <c r="E235" s="29"/>
    </row>
    <row r="236" spans="2:5" x14ac:dyDescent="0.25">
      <c r="B236" s="13" t="str">
        <f>+B232</f>
        <v>Propiedad planta y equipo</v>
      </c>
      <c r="C236" s="10" t="s">
        <v>157</v>
      </c>
      <c r="D236" s="15"/>
    </row>
    <row r="237" spans="2:5" hidden="1" x14ac:dyDescent="0.25">
      <c r="B237" s="138" t="s">
        <v>158</v>
      </c>
      <c r="C237" s="138">
        <f>+[1]BALANZA!B4</f>
        <v>2024</v>
      </c>
      <c r="D237" s="139">
        <f>+[1]BALANZA!C4</f>
        <v>2023</v>
      </c>
      <c r="E237" s="140" t="s">
        <v>95</v>
      </c>
    </row>
    <row r="238" spans="2:5" hidden="1" x14ac:dyDescent="0.25">
      <c r="B238" s="141" t="s">
        <v>159</v>
      </c>
      <c r="C238" s="142"/>
      <c r="D238" s="143"/>
      <c r="E238" s="144"/>
    </row>
    <row r="239" spans="2:5" ht="20.25" hidden="1" customHeight="1" x14ac:dyDescent="0.25">
      <c r="B239" s="116" t="s">
        <v>160</v>
      </c>
      <c r="C239" s="142"/>
      <c r="D239" s="143"/>
      <c r="E239" s="144"/>
    </row>
    <row r="240" spans="2:5" ht="20.25" hidden="1" customHeight="1" x14ac:dyDescent="0.25">
      <c r="B240" s="65" t="s">
        <v>161</v>
      </c>
      <c r="C240" s="84">
        <f>+D240+D241</f>
        <v>27808637.940000001</v>
      </c>
      <c r="D240" s="145">
        <f>+'[1]BALANZA G'!D70+'[1]BALANZA G'!D59-D241</f>
        <v>24631937.940000001</v>
      </c>
      <c r="E240" s="83">
        <f>+C240-D240</f>
        <v>3176700</v>
      </c>
    </row>
    <row r="241" spans="2:7" ht="20.25" hidden="1" customHeight="1" x14ac:dyDescent="0.25">
      <c r="B241" s="116" t="s">
        <v>162</v>
      </c>
      <c r="C241" s="84">
        <f>+'[1]BALANZA G'!C70-'[1]BALANZA G'!D70+'[1]BALANZA G'!C59+'[1]BALANZA G'!C73-E240</f>
        <v>1984194.2000000002</v>
      </c>
      <c r="D241" s="146">
        <v>3176700</v>
      </c>
      <c r="E241" s="83">
        <f>+C241-D241</f>
        <v>-1192505.7999999998</v>
      </c>
    </row>
    <row r="242" spans="2:7" ht="20.25" hidden="1" customHeight="1" x14ac:dyDescent="0.25">
      <c r="B242" s="116" t="s">
        <v>163</v>
      </c>
      <c r="C242" s="84"/>
      <c r="D242" s="145"/>
      <c r="E242" s="83">
        <f>+C242-D242</f>
        <v>0</v>
      </c>
    </row>
    <row r="243" spans="2:7" ht="20.25" hidden="1" customHeight="1" x14ac:dyDescent="0.25">
      <c r="B243" s="116" t="s">
        <v>164</v>
      </c>
      <c r="C243" s="84">
        <f>-[1]nota13!F28</f>
        <v>-24689545.350000001</v>
      </c>
      <c r="D243" s="145"/>
      <c r="E243" s="83"/>
    </row>
    <row r="244" spans="2:7" ht="20.25" hidden="1" customHeight="1" x14ac:dyDescent="0.25">
      <c r="B244" s="116" t="s">
        <v>165</v>
      </c>
      <c r="C244" s="84">
        <f>-[1]nota13!F29</f>
        <v>-780111.56999999832</v>
      </c>
      <c r="D244" s="145"/>
      <c r="E244" s="83"/>
    </row>
    <row r="245" spans="2:7" hidden="1" x14ac:dyDescent="0.25">
      <c r="B245" s="147" t="s">
        <v>166</v>
      </c>
      <c r="C245" s="148">
        <f>SUM(C240:C244)</f>
        <v>4323175.2200000007</v>
      </c>
      <c r="D245" s="149">
        <f>SUM(D238:D242)</f>
        <v>27808637.940000001</v>
      </c>
      <c r="E245" s="148">
        <f>SUM(E238:E242)</f>
        <v>1984194.2000000002</v>
      </c>
    </row>
    <row r="246" spans="2:7" ht="28.5" hidden="1" x14ac:dyDescent="0.25">
      <c r="B246" s="147" t="s">
        <v>167</v>
      </c>
      <c r="C246" s="150">
        <v>0</v>
      </c>
      <c r="D246" s="151">
        <v>0</v>
      </c>
      <c r="E246" s="152">
        <f>+C246-D246</f>
        <v>0</v>
      </c>
    </row>
    <row r="247" spans="2:7" ht="28.5" hidden="1" x14ac:dyDescent="0.25">
      <c r="B247" s="147" t="s">
        <v>168</v>
      </c>
      <c r="C247" s="148">
        <f>+C245-C246</f>
        <v>4323175.2200000007</v>
      </c>
      <c r="D247" s="149">
        <f>+D245-D246</f>
        <v>27808637.940000001</v>
      </c>
      <c r="E247" s="148">
        <f>+E245-E246</f>
        <v>1984194.2000000002</v>
      </c>
    </row>
    <row r="248" spans="2:7" ht="23.25" hidden="1" customHeight="1" x14ac:dyDescent="0.25">
      <c r="B248" s="141" t="s">
        <v>169</v>
      </c>
      <c r="C248" s="153"/>
      <c r="D248" s="154"/>
      <c r="E248" s="155"/>
    </row>
    <row r="249" spans="2:7" hidden="1" x14ac:dyDescent="0.25">
      <c r="B249" s="116" t="str">
        <f>+B240</f>
        <v xml:space="preserve">Costos de adquisición  </v>
      </c>
      <c r="C249" s="84">
        <f>+'[1]BALANZA G'!C62</f>
        <v>52883325.560000002</v>
      </c>
      <c r="D249" s="145">
        <f>+'[1]BALANZA G'!D62</f>
        <v>48572302.979999997</v>
      </c>
      <c r="E249" s="83">
        <f>+C249-D249</f>
        <v>4311022.5800000057</v>
      </c>
      <c r="G249" s="2" t="s">
        <v>112</v>
      </c>
    </row>
    <row r="250" spans="2:7" hidden="1" x14ac:dyDescent="0.25">
      <c r="B250" s="116" t="str">
        <f>+B241</f>
        <v>Adiciones</v>
      </c>
      <c r="C250" s="84"/>
      <c r="D250" s="145">
        <f>+'[1]BALANZA G'!F62</f>
        <v>38171024.979999997</v>
      </c>
      <c r="E250" s="83">
        <f>+C250-D250</f>
        <v>-38171024.979999997</v>
      </c>
    </row>
    <row r="251" spans="2:7" hidden="1" x14ac:dyDescent="0.25">
      <c r="B251" s="116" t="str">
        <f>+B242</f>
        <v>Retiros</v>
      </c>
      <c r="C251" s="84"/>
      <c r="D251" s="145"/>
      <c r="E251" s="83">
        <f>+C251-D251</f>
        <v>0</v>
      </c>
    </row>
    <row r="252" spans="2:7" hidden="1" x14ac:dyDescent="0.25">
      <c r="B252" s="116" t="str">
        <f>+B243</f>
        <v>Depreciación Acumulada</v>
      </c>
      <c r="C252" s="84">
        <f>-[1]nota13!I28</f>
        <v>-34810179.979999997</v>
      </c>
      <c r="D252" s="145"/>
      <c r="E252" s="83"/>
    </row>
    <row r="253" spans="2:7" hidden="1" x14ac:dyDescent="0.25">
      <c r="B253" s="116" t="str">
        <f>+B244</f>
        <v>Depreciación del periodo</v>
      </c>
      <c r="C253" s="84">
        <f>-[1]nota13!I29</f>
        <v>-1668929.1400000006</v>
      </c>
      <c r="D253" s="145"/>
      <c r="E253" s="83"/>
    </row>
    <row r="254" spans="2:7" ht="28.5" hidden="1" x14ac:dyDescent="0.25">
      <c r="B254" s="156" t="s">
        <v>170</v>
      </c>
      <c r="C254" s="148">
        <f>SUM(C249:C253)</f>
        <v>16404216.440000005</v>
      </c>
      <c r="D254" s="149">
        <f>SUM(D249:D251)</f>
        <v>86743327.959999993</v>
      </c>
      <c r="E254" s="148">
        <f>SUM(E249:E251)</f>
        <v>-33860002.399999991</v>
      </c>
    </row>
    <row r="255" spans="2:7" ht="28.5" hidden="1" x14ac:dyDescent="0.25">
      <c r="B255" s="147" t="s">
        <v>171</v>
      </c>
      <c r="C255" s="150">
        <v>0</v>
      </c>
      <c r="D255" s="151">
        <v>0</v>
      </c>
      <c r="E255" s="152">
        <f>+C255-D255</f>
        <v>0</v>
      </c>
    </row>
    <row r="256" spans="2:7" ht="42.75" hidden="1" x14ac:dyDescent="0.25">
      <c r="B256" s="147" t="s">
        <v>172</v>
      </c>
      <c r="C256" s="148">
        <f>+C254-C255</f>
        <v>16404216.440000005</v>
      </c>
      <c r="D256" s="149">
        <f>+D254-D255</f>
        <v>86743327.959999993</v>
      </c>
      <c r="E256" s="148">
        <f>+E254-E255</f>
        <v>-33860002.399999991</v>
      </c>
    </row>
    <row r="257" spans="2:5" ht="26.25" hidden="1" customHeight="1" x14ac:dyDescent="0.25">
      <c r="B257" s="157" t="s">
        <v>173</v>
      </c>
      <c r="C257" s="153"/>
      <c r="D257" s="154"/>
      <c r="E257" s="155"/>
    </row>
    <row r="258" spans="2:5" hidden="1" x14ac:dyDescent="0.25">
      <c r="B258" s="116" t="str">
        <f>+B249</f>
        <v xml:space="preserve">Costos de adquisición  </v>
      </c>
      <c r="C258" s="84">
        <f>+'[1]BALANZA G'!C66</f>
        <v>578847</v>
      </c>
      <c r="D258" s="145">
        <f>+'[1]BALANZA G'!D66-D259</f>
        <v>321750</v>
      </c>
      <c r="E258" s="83">
        <f>+C258-D258</f>
        <v>257097</v>
      </c>
    </row>
    <row r="259" spans="2:5" hidden="1" x14ac:dyDescent="0.25">
      <c r="B259" s="116" t="str">
        <f>+B250</f>
        <v>Adiciones</v>
      </c>
      <c r="C259" s="84"/>
      <c r="D259" s="145">
        <f>+'[1]BALANZA G'!F66</f>
        <v>74900</v>
      </c>
      <c r="E259" s="83">
        <f>+C259-D259</f>
        <v>-74900</v>
      </c>
    </row>
    <row r="260" spans="2:5" hidden="1" x14ac:dyDescent="0.25">
      <c r="B260" s="116" t="str">
        <f>+B251</f>
        <v>Retiros</v>
      </c>
      <c r="C260" s="84"/>
      <c r="D260" s="145"/>
      <c r="E260" s="83">
        <f>+C260-D260</f>
        <v>0</v>
      </c>
    </row>
    <row r="261" spans="2:5" hidden="1" x14ac:dyDescent="0.25">
      <c r="B261" s="116" t="str">
        <f>+B252</f>
        <v>Depreciación Acumulada</v>
      </c>
      <c r="C261" s="84"/>
      <c r="D261" s="145"/>
      <c r="E261" s="83"/>
    </row>
    <row r="262" spans="2:5" hidden="1" x14ac:dyDescent="0.25">
      <c r="B262" s="116" t="str">
        <f>+B253</f>
        <v>Depreciación del periodo</v>
      </c>
      <c r="C262" s="84">
        <f>-[1]nota13!G29</f>
        <v>-8638.7799999999988</v>
      </c>
      <c r="D262" s="145"/>
      <c r="E262" s="83"/>
    </row>
    <row r="263" spans="2:5" ht="28.5" hidden="1" x14ac:dyDescent="0.25">
      <c r="B263" s="147" t="s">
        <v>174</v>
      </c>
      <c r="C263" s="148">
        <f>SUM(C258:C262)</f>
        <v>570208.22</v>
      </c>
      <c r="D263" s="149">
        <f>SUM(D258:D262)</f>
        <v>396650</v>
      </c>
      <c r="E263" s="148">
        <f>SUM(E258)</f>
        <v>257097</v>
      </c>
    </row>
    <row r="264" spans="2:5" ht="27" hidden="1" customHeight="1" x14ac:dyDescent="0.25">
      <c r="B264" s="147" t="s">
        <v>175</v>
      </c>
      <c r="C264" s="150">
        <v>0</v>
      </c>
      <c r="D264" s="151">
        <v>0</v>
      </c>
      <c r="E264" s="152">
        <f>+C264-D264</f>
        <v>0</v>
      </c>
    </row>
    <row r="265" spans="2:5" ht="28.5" hidden="1" x14ac:dyDescent="0.25">
      <c r="B265" s="147" t="s">
        <v>176</v>
      </c>
      <c r="C265" s="148">
        <f>+C263-C264</f>
        <v>570208.22</v>
      </c>
      <c r="D265" s="149">
        <f>+D263-D264</f>
        <v>396650</v>
      </c>
      <c r="E265" s="148">
        <f>+E263-E264</f>
        <v>257097</v>
      </c>
    </row>
    <row r="266" spans="2:5" hidden="1" x14ac:dyDescent="0.25">
      <c r="B266" s="141" t="s">
        <v>177</v>
      </c>
      <c r="C266" s="153"/>
      <c r="D266" s="154"/>
      <c r="E266" s="155"/>
    </row>
    <row r="267" spans="2:5" hidden="1" x14ac:dyDescent="0.25">
      <c r="B267" s="116" t="str">
        <f>+B258</f>
        <v xml:space="preserve">Costos de adquisición  </v>
      </c>
      <c r="C267" s="84">
        <f>+'[1]BALANZA G'!C63+'[1]BALANZA G'!C67-C268</f>
        <v>15624467.83</v>
      </c>
      <c r="D267" s="145">
        <f>+'[1]BALANZA G'!D63+'[1]BALANZA G'!D67-D268</f>
        <v>10165018.76</v>
      </c>
      <c r="E267" s="83">
        <f>+C267-D267</f>
        <v>5459449.0700000003</v>
      </c>
    </row>
    <row r="268" spans="2:5" hidden="1" x14ac:dyDescent="0.25">
      <c r="B268" s="116" t="str">
        <f>+B259</f>
        <v>Adiciones</v>
      </c>
      <c r="C268" s="84">
        <f>+'[1]BALANZA G'!C67-D268+'[1]BALANZA G'!C63-'[1]BALANZA G'!D63</f>
        <v>392501.00000000186</v>
      </c>
      <c r="D268" s="94">
        <f>+'[1]BALANZA G'!D67</f>
        <v>5459449.0700000003</v>
      </c>
      <c r="E268" s="83">
        <f>+C268-D268</f>
        <v>-5066948.0699999984</v>
      </c>
    </row>
    <row r="269" spans="2:5" hidden="1" x14ac:dyDescent="0.25">
      <c r="B269" s="116" t="str">
        <f>+B260</f>
        <v>Retiros</v>
      </c>
      <c r="C269" s="84"/>
      <c r="D269" s="145"/>
      <c r="E269" s="83">
        <f>+C269-D269</f>
        <v>0</v>
      </c>
    </row>
    <row r="270" spans="2:5" hidden="1" x14ac:dyDescent="0.25">
      <c r="B270" s="116" t="str">
        <f>+B261</f>
        <v>Depreciación Acumulada</v>
      </c>
      <c r="C270" s="84">
        <f>-[1]nota13!H28</f>
        <v>-10876825.58</v>
      </c>
      <c r="D270" s="145"/>
      <c r="E270" s="83"/>
    </row>
    <row r="271" spans="2:5" hidden="1" x14ac:dyDescent="0.25">
      <c r="B271" s="116" t="str">
        <f>+B262</f>
        <v>Depreciación del periodo</v>
      </c>
      <c r="C271" s="84">
        <f>-[1]nota13!H29</f>
        <v>-340373.11999999965</v>
      </c>
      <c r="D271" s="145"/>
      <c r="E271" s="83"/>
    </row>
    <row r="272" spans="2:5" ht="28.5" hidden="1" x14ac:dyDescent="0.25">
      <c r="B272" s="147" t="s">
        <v>178</v>
      </c>
      <c r="C272" s="148">
        <f>SUM(C267:C271)</f>
        <v>4799770.1300000027</v>
      </c>
      <c r="D272" s="149">
        <f>SUM(D267:D269)</f>
        <v>15624467.83</v>
      </c>
      <c r="E272" s="148">
        <f>SUM(E267:E269)</f>
        <v>392501.00000000186</v>
      </c>
    </row>
    <row r="273" spans="2:5" ht="28.5" hidden="1" x14ac:dyDescent="0.25">
      <c r="B273" s="147" t="s">
        <v>179</v>
      </c>
      <c r="C273" s="150"/>
      <c r="D273" s="151"/>
      <c r="E273" s="152"/>
    </row>
    <row r="274" spans="2:5" ht="28.5" hidden="1" x14ac:dyDescent="0.25">
      <c r="B274" s="147" t="s">
        <v>180</v>
      </c>
      <c r="C274" s="148">
        <f>+C272-C273</f>
        <v>4799770.1300000027</v>
      </c>
      <c r="D274" s="149">
        <f>+D272-D273</f>
        <v>15624467.83</v>
      </c>
      <c r="E274" s="148">
        <f>+E272-E273</f>
        <v>392501.00000000186</v>
      </c>
    </row>
    <row r="275" spans="2:5" hidden="1" x14ac:dyDescent="0.25">
      <c r="B275" s="141" t="s">
        <v>181</v>
      </c>
      <c r="C275" s="158"/>
      <c r="D275" s="145"/>
      <c r="E275" s="83">
        <f>+C275-D275</f>
        <v>0</v>
      </c>
    </row>
    <row r="276" spans="2:5" hidden="1" x14ac:dyDescent="0.25">
      <c r="B276" s="116" t="s">
        <v>182</v>
      </c>
      <c r="C276" s="84"/>
      <c r="D276" s="145"/>
      <c r="E276" s="83">
        <f>+C276-D276</f>
        <v>0</v>
      </c>
    </row>
    <row r="277" spans="2:5" hidden="1" x14ac:dyDescent="0.25">
      <c r="B277" s="159" t="s">
        <v>183</v>
      </c>
      <c r="C277" s="84"/>
      <c r="D277" s="145"/>
      <c r="E277" s="83">
        <f>+C277-D277</f>
        <v>0</v>
      </c>
    </row>
    <row r="278" spans="2:5" ht="28.5" hidden="1" x14ac:dyDescent="0.25">
      <c r="B278" s="147" t="s">
        <v>184</v>
      </c>
      <c r="C278" s="160">
        <f>SUM(C276:C277)</f>
        <v>0</v>
      </c>
      <c r="D278" s="161">
        <f>SUM(D276:D277)</f>
        <v>0</v>
      </c>
      <c r="E278" s="160">
        <f>SUM(E276:E277)</f>
        <v>0</v>
      </c>
    </row>
    <row r="279" spans="2:5" ht="28.5" hidden="1" x14ac:dyDescent="0.25">
      <c r="B279" s="147" t="s">
        <v>185</v>
      </c>
      <c r="C279" s="162">
        <v>0</v>
      </c>
      <c r="D279" s="151">
        <v>0</v>
      </c>
      <c r="E279" s="152">
        <f>+C279-D279</f>
        <v>0</v>
      </c>
    </row>
    <row r="280" spans="2:5" ht="28.5" hidden="1" x14ac:dyDescent="0.25">
      <c r="B280" s="147" t="s">
        <v>186</v>
      </c>
      <c r="C280" s="160">
        <f>+C278-C279</f>
        <v>0</v>
      </c>
      <c r="D280" s="161">
        <f>+D278-D279</f>
        <v>0</v>
      </c>
      <c r="E280" s="160">
        <f>+E278-E279</f>
        <v>0</v>
      </c>
    </row>
    <row r="281" spans="2:5" hidden="1" x14ac:dyDescent="0.25">
      <c r="B281" s="157" t="s">
        <v>187</v>
      </c>
      <c r="C281" s="153"/>
      <c r="D281" s="154"/>
      <c r="E281" s="155"/>
    </row>
    <row r="282" spans="2:5" hidden="1" x14ac:dyDescent="0.25">
      <c r="B282" s="41" t="str">
        <f>+B267</f>
        <v xml:space="preserve">Costos de adquisición  </v>
      </c>
      <c r="C282" s="84">
        <f>+'[1]BALANZA G'!D55</f>
        <v>1623675</v>
      </c>
      <c r="D282" s="145">
        <f>+'[1]BALANZA G'!D55</f>
        <v>1623675</v>
      </c>
      <c r="E282" s="83">
        <f>+C282-D282</f>
        <v>0</v>
      </c>
    </row>
    <row r="283" spans="2:5" hidden="1" x14ac:dyDescent="0.25">
      <c r="B283" s="41" t="str">
        <f>+B268</f>
        <v>Adiciones</v>
      </c>
      <c r="C283" s="84">
        <f>+'[1]BALANZA G'!C55-'[1]BALANZA G'!D55</f>
        <v>0</v>
      </c>
      <c r="D283" s="145">
        <f>+'[1]BALANZA G'!F55</f>
        <v>1623675</v>
      </c>
      <c r="E283" s="83">
        <f>+C283-D283</f>
        <v>-1623675</v>
      </c>
    </row>
    <row r="284" spans="2:5" hidden="1" x14ac:dyDescent="0.25">
      <c r="B284" s="41" t="str">
        <f>+B269</f>
        <v>Retiros</v>
      </c>
      <c r="C284" s="84"/>
      <c r="D284" s="145"/>
      <c r="E284" s="83">
        <f>+C284-D284</f>
        <v>0</v>
      </c>
    </row>
    <row r="285" spans="2:5" hidden="1" x14ac:dyDescent="0.25">
      <c r="B285" s="41" t="str">
        <f>+B270</f>
        <v>Depreciación Acumulada</v>
      </c>
      <c r="C285" s="84"/>
      <c r="D285" s="145"/>
      <c r="E285" s="83"/>
    </row>
    <row r="286" spans="2:5" hidden="1" x14ac:dyDescent="0.25">
      <c r="B286" s="41" t="str">
        <f>+B271</f>
        <v>Depreciación del periodo</v>
      </c>
      <c r="C286" s="84"/>
      <c r="D286" s="145"/>
      <c r="E286" s="83"/>
    </row>
    <row r="287" spans="2:5" hidden="1" x14ac:dyDescent="0.25">
      <c r="B287" s="147" t="s">
        <v>188</v>
      </c>
      <c r="C287" s="148">
        <f>SUM(C276:C283)</f>
        <v>1623675</v>
      </c>
      <c r="D287" s="149">
        <f>SUM(D276:D283)</f>
        <v>3247350</v>
      </c>
      <c r="E287" s="148">
        <f>SUM(E276:E283)</f>
        <v>-1623675</v>
      </c>
    </row>
    <row r="288" spans="2:5" hidden="1" x14ac:dyDescent="0.25">
      <c r="B288" s="157" t="s">
        <v>189</v>
      </c>
      <c r="C288" s="153"/>
      <c r="D288" s="154"/>
      <c r="E288" s="155"/>
    </row>
    <row r="289" spans="2:6" hidden="1" x14ac:dyDescent="0.25">
      <c r="B289" s="41" t="str">
        <f>+B282</f>
        <v xml:space="preserve">Costos de adquisición  </v>
      </c>
      <c r="C289" s="84">
        <f>+'[1]BALANZA G'!D58</f>
        <v>953149176.46000004</v>
      </c>
      <c r="D289" s="145">
        <f>+'[1]BALANZA G'!D58</f>
        <v>953149176.46000004</v>
      </c>
      <c r="E289" s="83">
        <f>+C289-D289</f>
        <v>0</v>
      </c>
    </row>
    <row r="290" spans="2:6" hidden="1" x14ac:dyDescent="0.25">
      <c r="B290" s="41" t="str">
        <f>+B283</f>
        <v>Adiciones</v>
      </c>
      <c r="C290" s="84">
        <f>+'[1]BALANZA G'!C58-'[1]BALANZA G'!D58</f>
        <v>0</v>
      </c>
      <c r="D290" s="145">
        <f>+'[1]BALANZA G'!J57</f>
        <v>0</v>
      </c>
      <c r="E290" s="83">
        <f>+C290-D290</f>
        <v>0</v>
      </c>
    </row>
    <row r="291" spans="2:6" hidden="1" x14ac:dyDescent="0.25">
      <c r="B291" s="41" t="str">
        <f>+B284</f>
        <v>Retiros</v>
      </c>
      <c r="C291" s="84"/>
      <c r="D291" s="145"/>
      <c r="E291" s="83"/>
    </row>
    <row r="292" spans="2:6" hidden="1" x14ac:dyDescent="0.25">
      <c r="B292" s="41" t="str">
        <f>+B285</f>
        <v>Depreciación Acumulada</v>
      </c>
      <c r="C292" s="84">
        <f>-[1]nota13!E28</f>
        <v>-220360422.87</v>
      </c>
      <c r="D292" s="145"/>
      <c r="E292" s="83"/>
    </row>
    <row r="293" spans="2:6" hidden="1" x14ac:dyDescent="0.25">
      <c r="B293" s="41" t="str">
        <f>+B286</f>
        <v>Depreciación del periodo</v>
      </c>
      <c r="C293" s="84">
        <f>-[1]nota13!E29</f>
        <v>-25248051.370000005</v>
      </c>
      <c r="D293" s="145"/>
      <c r="E293" s="83"/>
    </row>
    <row r="294" spans="2:6" hidden="1" x14ac:dyDescent="0.25">
      <c r="B294" s="147" t="s">
        <v>190</v>
      </c>
      <c r="C294" s="148">
        <f>SUM(C289:C293)</f>
        <v>707540702.22000003</v>
      </c>
      <c r="D294" s="149">
        <f>+D289+D290-D291</f>
        <v>953149176.46000004</v>
      </c>
      <c r="E294" s="148">
        <f>+E289+E290-E291</f>
        <v>0</v>
      </c>
    </row>
    <row r="295" spans="2:6" hidden="1" x14ac:dyDescent="0.25">
      <c r="B295" s="147" t="s">
        <v>188</v>
      </c>
      <c r="C295" s="148">
        <f>+C294+C287</f>
        <v>709164377.22000003</v>
      </c>
      <c r="D295" s="149">
        <f>+D294+D287</f>
        <v>956396526.46000004</v>
      </c>
      <c r="E295" s="148">
        <f>+E294+E287</f>
        <v>-1623675</v>
      </c>
      <c r="F295" s="163">
        <f>+F294+F287</f>
        <v>0</v>
      </c>
    </row>
    <row r="296" spans="2:6" hidden="1" x14ac:dyDescent="0.25">
      <c r="B296" s="147" t="s">
        <v>191</v>
      </c>
      <c r="C296" s="150"/>
      <c r="D296" s="151"/>
      <c r="E296" s="152">
        <f>+C296-D296</f>
        <v>0</v>
      </c>
    </row>
    <row r="297" spans="2:6" ht="27" hidden="1" customHeight="1" x14ac:dyDescent="0.25">
      <c r="B297" s="147" t="s">
        <v>192</v>
      </c>
      <c r="C297" s="148">
        <f>+C295-C296</f>
        <v>709164377.22000003</v>
      </c>
      <c r="D297" s="149">
        <f>+D295-D296</f>
        <v>956396526.46000004</v>
      </c>
      <c r="E297" s="148">
        <f>+E295-E296</f>
        <v>-1623675</v>
      </c>
    </row>
    <row r="298" spans="2:6" hidden="1" x14ac:dyDescent="0.25">
      <c r="B298" s="164" t="s">
        <v>193</v>
      </c>
      <c r="C298" s="158"/>
      <c r="D298" s="145"/>
      <c r="E298" s="83">
        <f>+C298-D298</f>
        <v>0</v>
      </c>
    </row>
    <row r="299" spans="2:6" hidden="1" x14ac:dyDescent="0.25">
      <c r="B299" s="116" t="s">
        <v>194</v>
      </c>
      <c r="C299" s="84"/>
      <c r="D299" s="145"/>
      <c r="E299" s="83">
        <f>+C299-D299</f>
        <v>0</v>
      </c>
    </row>
    <row r="300" spans="2:6" hidden="1" x14ac:dyDescent="0.25">
      <c r="B300" s="147" t="s">
        <v>195</v>
      </c>
      <c r="C300" s="148">
        <f>SUM(C299)</f>
        <v>0</v>
      </c>
      <c r="D300" s="149">
        <f>SUM(D299)</f>
        <v>0</v>
      </c>
      <c r="E300" s="148">
        <f>SUM(E299)</f>
        <v>0</v>
      </c>
    </row>
    <row r="301" spans="2:6" ht="28.5" hidden="1" x14ac:dyDescent="0.25">
      <c r="B301" s="147" t="s">
        <v>196</v>
      </c>
      <c r="C301" s="150"/>
      <c r="D301" s="151"/>
      <c r="E301" s="152">
        <f>+C301-D301</f>
        <v>0</v>
      </c>
    </row>
    <row r="302" spans="2:6" ht="28.5" hidden="1" x14ac:dyDescent="0.25">
      <c r="B302" s="147" t="s">
        <v>197</v>
      </c>
      <c r="C302" s="148">
        <f>+C300-C301</f>
        <v>0</v>
      </c>
      <c r="D302" s="149">
        <f>+D300-D301</f>
        <v>0</v>
      </c>
      <c r="E302" s="148">
        <f>+E300-E301</f>
        <v>0</v>
      </c>
    </row>
    <row r="303" spans="2:6" hidden="1" x14ac:dyDescent="0.25">
      <c r="B303" s="164" t="s">
        <v>198</v>
      </c>
      <c r="C303" s="158"/>
      <c r="D303" s="145"/>
      <c r="E303" s="83"/>
    </row>
    <row r="304" spans="2:6" hidden="1" x14ac:dyDescent="0.25">
      <c r="B304" s="159" t="s">
        <v>199</v>
      </c>
      <c r="C304" s="84"/>
      <c r="D304" s="145"/>
      <c r="E304" s="83">
        <f>+C304-D304</f>
        <v>0</v>
      </c>
    </row>
    <row r="305" spans="2:26" ht="12" hidden="1" customHeight="1" x14ac:dyDescent="0.25">
      <c r="B305" s="159" t="s">
        <v>200</v>
      </c>
      <c r="C305" s="84"/>
      <c r="D305" s="145"/>
      <c r="E305" s="83">
        <f>+C305-D305</f>
        <v>0</v>
      </c>
    </row>
    <row r="306" spans="2:26" ht="13.5" hidden="1" customHeight="1" x14ac:dyDescent="0.25">
      <c r="B306" s="159" t="s">
        <v>201</v>
      </c>
      <c r="C306" s="84"/>
      <c r="D306" s="145"/>
      <c r="E306" s="83">
        <f>+C306-D306</f>
        <v>0</v>
      </c>
    </row>
    <row r="307" spans="2:26" ht="24.75" hidden="1" customHeight="1" x14ac:dyDescent="0.25">
      <c r="B307" s="147" t="s">
        <v>202</v>
      </c>
      <c r="C307" s="148">
        <f>SUM(C304:C306)</f>
        <v>0</v>
      </c>
      <c r="D307" s="149">
        <f>SUM(D304:D306)</f>
        <v>0</v>
      </c>
      <c r="E307" s="148">
        <f>SUM(E304:E306)</f>
        <v>0</v>
      </c>
    </row>
    <row r="308" spans="2:26" ht="21" hidden="1" customHeight="1" x14ac:dyDescent="0.25">
      <c r="B308" s="147" t="s">
        <v>203</v>
      </c>
      <c r="C308" s="150"/>
      <c r="D308" s="151"/>
      <c r="E308" s="152">
        <f>+C308-D308</f>
        <v>0</v>
      </c>
    </row>
    <row r="309" spans="2:26" ht="33" hidden="1" customHeight="1" x14ac:dyDescent="0.25">
      <c r="B309" s="147" t="s">
        <v>204</v>
      </c>
      <c r="C309" s="148">
        <f>+C307-C308</f>
        <v>0</v>
      </c>
      <c r="D309" s="149">
        <f>+D307-D308</f>
        <v>0</v>
      </c>
      <c r="E309" s="148">
        <f>+E307-E308</f>
        <v>0</v>
      </c>
    </row>
    <row r="310" spans="2:26" hidden="1" x14ac:dyDescent="0.25">
      <c r="B310" s="147" t="s">
        <v>205</v>
      </c>
      <c r="C310" s="165">
        <f>+C309+C302+C297+C280+C274+C265+C256+C247</f>
        <v>735261747.23000014</v>
      </c>
      <c r="D310" s="166">
        <f>+D309+D302+D297+D280+D274+D265+D256+D247</f>
        <v>1086969610.1900001</v>
      </c>
      <c r="E310" s="165">
        <f>+E309+E302+E297+E280+E274+E265+E256+E247</f>
        <v>-32849885.199999992</v>
      </c>
    </row>
    <row r="311" spans="2:26" hidden="1" x14ac:dyDescent="0.25">
      <c r="B311" s="147" t="s">
        <v>206</v>
      </c>
      <c r="C311" s="167">
        <f>+C308+C301+C296+C279+C273+C264+C255+C246</f>
        <v>0</v>
      </c>
      <c r="D311" s="151">
        <f>+D308+D301+D296+D279+D273+D264+D255+D246</f>
        <v>0</v>
      </c>
      <c r="E311" s="152">
        <f>+C311-D311</f>
        <v>0</v>
      </c>
    </row>
    <row r="312" spans="2:26" hidden="1" x14ac:dyDescent="0.25">
      <c r="B312" s="147" t="s">
        <v>207</v>
      </c>
      <c r="C312" s="165">
        <f>+C295+C274+C265+C256+C247</f>
        <v>735261747.23000014</v>
      </c>
      <c r="D312" s="166">
        <f>+D295+D274+D265+D256+D247</f>
        <v>1086969610.1900001</v>
      </c>
      <c r="E312" s="165">
        <f>+E310-E311</f>
        <v>-32849885.199999992</v>
      </c>
    </row>
    <row r="313" spans="2:26" s="10" customFormat="1" ht="9.75" hidden="1" customHeight="1" x14ac:dyDescent="0.25">
      <c r="B313" s="168"/>
      <c r="C313" s="169"/>
      <c r="D313" s="170"/>
      <c r="E313" s="171"/>
      <c r="J313" s="15"/>
      <c r="N313" s="15"/>
      <c r="R313" s="4"/>
      <c r="S313" s="4"/>
      <c r="T313" s="4"/>
      <c r="U313" s="4"/>
      <c r="V313" s="4"/>
      <c r="W313" s="4"/>
      <c r="X313" s="4"/>
      <c r="Y313" s="4"/>
      <c r="Z313" s="15"/>
    </row>
    <row r="314" spans="2:26" s="45" customFormat="1" x14ac:dyDescent="0.25">
      <c r="B314" s="55" t="str">
        <f>("Cambio porcentual con relación al "&amp;$D$115&amp;".")</f>
        <v>Cambio porcentual con relación al 2023.</v>
      </c>
      <c r="C314" s="56"/>
      <c r="D314" s="131" t="str">
        <f>IF(E314&gt;=0,"Aumento","Disminución")</f>
        <v>Disminución</v>
      </c>
      <c r="E314" s="132">
        <f>+E312/D312</f>
        <v>-3.0221530475224509E-2</v>
      </c>
      <c r="J314" s="49"/>
      <c r="N314" s="49"/>
      <c r="R314" s="50"/>
      <c r="S314" s="50"/>
      <c r="T314" s="50"/>
      <c r="U314" s="50"/>
      <c r="V314" s="50"/>
      <c r="W314" s="50"/>
      <c r="X314" s="50"/>
      <c r="Y314" s="50"/>
      <c r="Z314" s="49"/>
    </row>
    <row r="315" spans="2:26" x14ac:dyDescent="0.25">
      <c r="B315" s="107"/>
    </row>
    <row r="316" spans="2:26" x14ac:dyDescent="0.25">
      <c r="B316" s="107"/>
    </row>
    <row r="317" spans="2:26" x14ac:dyDescent="0.25">
      <c r="B317" s="107"/>
    </row>
    <row r="318" spans="2:26" x14ac:dyDescent="0.25">
      <c r="B318" s="107"/>
    </row>
    <row r="319" spans="2:26" x14ac:dyDescent="0.25">
      <c r="B319" s="107"/>
    </row>
    <row r="320" spans="2:26" x14ac:dyDescent="0.25">
      <c r="B320" s="107"/>
    </row>
    <row r="321" spans="2:2" x14ac:dyDescent="0.25">
      <c r="B321" s="107"/>
    </row>
    <row r="322" spans="2:2" x14ac:dyDescent="0.25">
      <c r="B322" s="107"/>
    </row>
    <row r="323" spans="2:2" x14ac:dyDescent="0.25">
      <c r="B323" s="107"/>
    </row>
    <row r="324" spans="2:2" x14ac:dyDescent="0.25">
      <c r="B324" s="107"/>
    </row>
    <row r="325" spans="2:2" x14ac:dyDescent="0.25">
      <c r="B325" s="107"/>
    </row>
    <row r="326" spans="2:2" x14ac:dyDescent="0.25">
      <c r="B326" s="107"/>
    </row>
    <row r="327" spans="2:2" x14ac:dyDescent="0.25">
      <c r="B327" s="107"/>
    </row>
    <row r="328" spans="2:2" x14ac:dyDescent="0.25">
      <c r="B328" s="107"/>
    </row>
    <row r="329" spans="2:2" x14ac:dyDescent="0.25">
      <c r="B329" s="107"/>
    </row>
    <row r="330" spans="2:2" x14ac:dyDescent="0.25">
      <c r="B330" s="107"/>
    </row>
    <row r="331" spans="2:2" x14ac:dyDescent="0.25">
      <c r="B331" s="107"/>
    </row>
    <row r="332" spans="2:2" x14ac:dyDescent="0.25">
      <c r="B332" s="107"/>
    </row>
    <row r="333" spans="2:2" x14ac:dyDescent="0.25">
      <c r="B333" s="107"/>
    </row>
    <row r="334" spans="2:2" x14ac:dyDescent="0.25">
      <c r="B334" s="107"/>
    </row>
    <row r="335" spans="2:2" x14ac:dyDescent="0.25">
      <c r="B335" s="107"/>
    </row>
    <row r="336" spans="2:2" x14ac:dyDescent="0.25">
      <c r="B336" s="107"/>
    </row>
    <row r="337" spans="2:2" x14ac:dyDescent="0.25">
      <c r="B337" s="107"/>
    </row>
    <row r="338" spans="2:2" x14ac:dyDescent="0.25">
      <c r="B338" s="107"/>
    </row>
    <row r="339" spans="2:2" x14ac:dyDescent="0.25">
      <c r="B339" s="107"/>
    </row>
    <row r="340" spans="2:2" x14ac:dyDescent="0.25">
      <c r="B340" s="107"/>
    </row>
    <row r="341" spans="2:2" x14ac:dyDescent="0.25">
      <c r="B341" s="107"/>
    </row>
    <row r="342" spans="2:2" x14ac:dyDescent="0.25">
      <c r="B342" s="107"/>
    </row>
    <row r="343" spans="2:2" ht="35.25" customHeight="1" x14ac:dyDescent="0.25">
      <c r="B343" s="107"/>
    </row>
    <row r="344" spans="2:2" x14ac:dyDescent="0.25">
      <c r="B344" s="107"/>
    </row>
    <row r="345" spans="2:2" x14ac:dyDescent="0.25">
      <c r="B345" s="107"/>
    </row>
    <row r="346" spans="2:2" x14ac:dyDescent="0.25">
      <c r="B346" s="107"/>
    </row>
    <row r="347" spans="2:2" x14ac:dyDescent="0.25">
      <c r="B347" s="107"/>
    </row>
    <row r="348" spans="2:2" ht="6" customHeight="1" x14ac:dyDescent="0.25">
      <c r="B348" s="107"/>
    </row>
    <row r="349" spans="2:2" x14ac:dyDescent="0.25">
      <c r="B349" s="107"/>
    </row>
    <row r="350" spans="2:2" x14ac:dyDescent="0.25">
      <c r="B350" s="107"/>
    </row>
    <row r="351" spans="2:2" x14ac:dyDescent="0.25">
      <c r="B351" s="107"/>
    </row>
    <row r="352" spans="2:2" x14ac:dyDescent="0.25">
      <c r="B352" s="107"/>
    </row>
    <row r="353" spans="2:26" x14ac:dyDescent="0.25">
      <c r="B353" s="65" t="s">
        <v>208</v>
      </c>
    </row>
    <row r="354" spans="2:26" x14ac:dyDescent="0.25">
      <c r="B354" s="65" t="s">
        <v>209</v>
      </c>
    </row>
    <row r="355" spans="2:26" ht="15" customHeight="1" x14ac:dyDescent="0.25">
      <c r="B355" s="14" t="str">
        <f>("Un detalle de las  "&amp;B354&amp;" al "&amp;[1]BALANZA!$B$3&amp;" "&amp;[1]BALANZA!$C$3&amp;" es como se detalla a continuación:")</f>
        <v>Un detalle de las  Activos Intangible  al 30 de Noviembre del 2024 - 2023 es como se detalla a continuación:</v>
      </c>
      <c r="C355" s="32"/>
      <c r="D355" s="32"/>
      <c r="E355" s="32"/>
    </row>
    <row r="356" spans="2:26" ht="33.75" customHeight="1" x14ac:dyDescent="0.25">
      <c r="B356" s="20" t="str">
        <f>("Las "&amp;B354&amp;" está integrado siguientes cuentas, para el "&amp;C358&amp;" el total era de RD$"&amp;R361&amp;" y para el "&amp;D358&amp;" el total fue de RD$"&amp;R362&amp;" , Según el siguiente detalle:")</f>
        <v>Las Activos Intangible  está integrado siguientes cuentas, para el 2024 el total era de RD$0 y para el 2023 el total fue de RD$160,568.42 , Según el siguiente detalle:</v>
      </c>
      <c r="C356" s="20"/>
      <c r="D356" s="20"/>
      <c r="E356" s="20"/>
      <c r="I356" s="172"/>
      <c r="J356" s="173"/>
    </row>
    <row r="357" spans="2:26" s="45" customFormat="1" ht="12.75" customHeight="1" x14ac:dyDescent="0.25">
      <c r="B357" s="174"/>
      <c r="C357" s="174"/>
      <c r="D357" s="175"/>
      <c r="E357" s="176"/>
      <c r="J357" s="49"/>
      <c r="N357" s="49"/>
      <c r="R357" s="50"/>
      <c r="S357" s="50"/>
      <c r="T357" s="50"/>
      <c r="U357" s="50"/>
      <c r="V357" s="50"/>
      <c r="W357" s="50"/>
      <c r="X357" s="50"/>
      <c r="Y357" s="50"/>
      <c r="Z357" s="49"/>
    </row>
    <row r="358" spans="2:26" x14ac:dyDescent="0.25">
      <c r="B358" s="177" t="s">
        <v>94</v>
      </c>
      <c r="C358" s="178">
        <f>+[1]BALANZA!B4</f>
        <v>2024</v>
      </c>
      <c r="D358" s="178">
        <f>+[1]BALANZA!C4</f>
        <v>2023</v>
      </c>
      <c r="E358" s="177" t="s">
        <v>95</v>
      </c>
    </row>
    <row r="359" spans="2:26" x14ac:dyDescent="0.25">
      <c r="B359" s="179" t="s">
        <v>210</v>
      </c>
      <c r="C359" s="94">
        <f>+'[1]BALANZA G'!C69+243708</f>
        <v>418873.5</v>
      </c>
      <c r="D359" s="94">
        <f>+'[1]BALANZA G'!D69+243708</f>
        <v>418873.5</v>
      </c>
      <c r="E359" s="180">
        <f>+C359-D359</f>
        <v>0</v>
      </c>
    </row>
    <row r="360" spans="2:26" x14ac:dyDescent="0.25">
      <c r="B360" s="179" t="s">
        <v>211</v>
      </c>
      <c r="C360" s="94">
        <f>-'[1]BALANZA G'!C83-243708</f>
        <v>-418873.5</v>
      </c>
      <c r="D360" s="94">
        <f>-'[1]BALANZA G'!D83-243708</f>
        <v>-258305.08</v>
      </c>
      <c r="E360" s="180">
        <f>+C360-D360</f>
        <v>-160568.42000000001</v>
      </c>
      <c r="J360" s="3">
        <v>-20309</v>
      </c>
    </row>
    <row r="361" spans="2:26" x14ac:dyDescent="0.25">
      <c r="B361" s="119" t="s">
        <v>212</v>
      </c>
      <c r="C361" s="120">
        <f>+C359+C360</f>
        <v>0</v>
      </c>
      <c r="D361" s="120">
        <f>SUM(D359:D359)+D360</f>
        <v>160568.42000000001</v>
      </c>
      <c r="E361" s="120">
        <f>SUM(E359:E359)-E360</f>
        <v>160568.42000000001</v>
      </c>
      <c r="R361" s="4" t="str">
        <f>+CONCATENATE(S361,T361,,)</f>
        <v>0</v>
      </c>
      <c r="S361" s="4" t="str">
        <f>MID(C361,1,3)</f>
        <v>0</v>
      </c>
      <c r="T361" s="4" t="str">
        <f>MID(C361,4,1)</f>
        <v/>
      </c>
      <c r="U361" s="4" t="str">
        <f>MID(C361,6,3)</f>
        <v/>
      </c>
    </row>
    <row r="362" spans="2:26" ht="10.5" customHeight="1" x14ac:dyDescent="0.25">
      <c r="B362" s="181"/>
      <c r="C362" s="182"/>
      <c r="D362" s="183"/>
      <c r="E362" s="184"/>
      <c r="R362" s="4" t="str">
        <f>+CONCATENATE(S362,",",T362,U362)</f>
        <v>160,568.42</v>
      </c>
      <c r="S362" s="4" t="str">
        <f>MID(D361,1,3)</f>
        <v>160</v>
      </c>
      <c r="T362" s="4" t="str">
        <f>MID(D361,4,3)</f>
        <v>568</v>
      </c>
      <c r="U362" s="4" t="str">
        <f>MID(D361,7,3)</f>
        <v>.42</v>
      </c>
    </row>
    <row r="363" spans="2:26" s="45" customFormat="1" x14ac:dyDescent="0.25">
      <c r="B363" s="55" t="str">
        <f>("Cambio porcentual con relación al "&amp;$D$115&amp;".")</f>
        <v>Cambio porcentual con relación al 2023.</v>
      </c>
      <c r="C363" s="56"/>
      <c r="D363" s="185">
        <v>0</v>
      </c>
      <c r="E363" s="90">
        <f>IFERROR(+E361/D361,0)</f>
        <v>1</v>
      </c>
      <c r="J363" s="49"/>
      <c r="N363" s="49"/>
      <c r="R363" s="50"/>
      <c r="S363" s="50"/>
      <c r="T363" s="50"/>
      <c r="U363" s="50"/>
      <c r="V363" s="50"/>
      <c r="W363" s="50"/>
      <c r="X363" s="50"/>
      <c r="Y363" s="50"/>
      <c r="Z363" s="49"/>
    </row>
    <row r="364" spans="2:26" s="45" customFormat="1" x14ac:dyDescent="0.25">
      <c r="B364" s="174"/>
      <c r="C364" s="174"/>
      <c r="D364" s="186"/>
      <c r="E364" s="176"/>
      <c r="J364" s="49"/>
      <c r="N364" s="49"/>
      <c r="R364" s="50"/>
      <c r="S364" s="50"/>
      <c r="T364" s="50"/>
      <c r="U364" s="50"/>
      <c r="V364" s="50"/>
      <c r="W364" s="50"/>
      <c r="X364" s="50"/>
      <c r="Y364" s="50"/>
      <c r="Z364" s="49"/>
    </row>
    <row r="365" spans="2:26" s="45" customFormat="1" x14ac:dyDescent="0.25">
      <c r="B365" s="29" t="s">
        <v>156</v>
      </c>
      <c r="C365" s="29"/>
      <c r="D365" s="29"/>
      <c r="E365" s="29"/>
      <c r="J365" s="49"/>
      <c r="N365" s="49"/>
      <c r="R365" s="50"/>
      <c r="S365" s="50"/>
      <c r="T365" s="50"/>
      <c r="U365" s="50"/>
      <c r="V365" s="50"/>
      <c r="W365" s="50"/>
      <c r="X365" s="50"/>
      <c r="Y365" s="50"/>
      <c r="Z365" s="49"/>
    </row>
    <row r="366" spans="2:26" s="45" customFormat="1" x14ac:dyDescent="0.25">
      <c r="B366" s="174"/>
      <c r="C366" s="174"/>
      <c r="D366" s="186"/>
      <c r="E366" s="176"/>
      <c r="J366" s="49"/>
      <c r="N366" s="49"/>
      <c r="R366" s="50"/>
      <c r="S366" s="50"/>
      <c r="T366" s="50"/>
      <c r="U366" s="50"/>
      <c r="V366" s="50"/>
      <c r="W366" s="50"/>
      <c r="X366" s="50"/>
      <c r="Y366" s="50"/>
      <c r="Z366" s="49"/>
    </row>
    <row r="367" spans="2:26" s="45" customFormat="1" x14ac:dyDescent="0.25">
      <c r="B367" s="174"/>
      <c r="C367" s="174"/>
      <c r="D367" s="186"/>
      <c r="E367" s="176"/>
      <c r="J367" s="49"/>
      <c r="N367" s="49"/>
      <c r="R367" s="50"/>
      <c r="S367" s="50"/>
      <c r="T367" s="50"/>
      <c r="U367" s="50"/>
      <c r="V367" s="50"/>
      <c r="W367" s="50"/>
      <c r="X367" s="50"/>
      <c r="Y367" s="50"/>
      <c r="Z367" s="49"/>
    </row>
    <row r="368" spans="2:26" s="45" customFormat="1" x14ac:dyDescent="0.25">
      <c r="B368" s="174"/>
      <c r="C368" s="174"/>
      <c r="D368" s="186"/>
      <c r="E368" s="176"/>
      <c r="J368" s="49"/>
      <c r="N368" s="49"/>
      <c r="R368" s="50"/>
      <c r="S368" s="50"/>
      <c r="T368" s="50"/>
      <c r="U368" s="50"/>
      <c r="V368" s="50"/>
      <c r="W368" s="50"/>
      <c r="X368" s="50"/>
      <c r="Y368" s="50"/>
      <c r="Z368" s="49"/>
    </row>
    <row r="369" spans="2:26" s="45" customFormat="1" x14ac:dyDescent="0.25">
      <c r="B369" s="174"/>
      <c r="C369" s="174"/>
      <c r="D369" s="186"/>
      <c r="E369" s="176"/>
      <c r="J369" s="49"/>
      <c r="N369" s="49"/>
      <c r="R369" s="50"/>
      <c r="S369" s="50"/>
      <c r="T369" s="50"/>
      <c r="U369" s="50"/>
      <c r="V369" s="50"/>
      <c r="W369" s="50"/>
      <c r="X369" s="50"/>
      <c r="Y369" s="50"/>
      <c r="Z369" s="49"/>
    </row>
    <row r="370" spans="2:26" s="45" customFormat="1" ht="8.25" customHeight="1" x14ac:dyDescent="0.25">
      <c r="B370" s="187"/>
      <c r="C370" s="187"/>
      <c r="D370" s="188"/>
      <c r="E370" s="189"/>
      <c r="J370" s="49"/>
      <c r="N370" s="49"/>
      <c r="R370" s="50"/>
      <c r="S370" s="50"/>
      <c r="T370" s="50"/>
      <c r="U370" s="50"/>
      <c r="V370" s="50"/>
      <c r="W370" s="50"/>
      <c r="X370" s="50"/>
      <c r="Y370" s="50"/>
      <c r="Z370" s="49"/>
    </row>
    <row r="371" spans="2:26" x14ac:dyDescent="0.25">
      <c r="B371" s="190" t="s">
        <v>213</v>
      </c>
      <c r="C371" s="191"/>
      <c r="D371" s="192"/>
      <c r="E371" s="191"/>
    </row>
    <row r="372" spans="2:26" ht="21.75" customHeight="1" x14ac:dyDescent="0.25">
      <c r="B372" s="7" t="s">
        <v>214</v>
      </c>
      <c r="C372" s="7"/>
      <c r="D372" s="7"/>
      <c r="E372" s="7"/>
    </row>
    <row r="373" spans="2:26" ht="27.75" customHeight="1" x14ac:dyDescent="0.25">
      <c r="B373" s="14" t="str">
        <f>("Un detalle de las  "&amp;B372&amp;" al "&amp;[1]BALANZA!$B$3&amp;" "&amp;[1]BALANZA!$C$3&amp;" es como se detalla a continuación:")</f>
        <v>Un detalle de las  Cuentas por pagar a corto plazo al 30 de Noviembre del 2024 - 2023 es como se detalla a continuación:</v>
      </c>
      <c r="C373" s="32"/>
      <c r="D373" s="32"/>
      <c r="E373" s="32"/>
    </row>
    <row r="374" spans="2:26" ht="59.25" customHeight="1" x14ac:dyDescent="0.25">
      <c r="B374" s="20" t="str">
        <f>("Las Cuentas por Pagar está integrado por las deudas y compromisos de pago que tiene la institución con los suplidores de servicios, retenciones impositivas y documentos por pagar, con una disminucion en el "&amp;C377&amp;"  el total era de RD$ "&amp;R381&amp;" y para el "&amp;D377&amp;" el total fue de RD$ "&amp;R382&amp;" , Según el siguiente detalle:")</f>
        <v>Las Cuentas por Pagar está integrado por las deudas y compromisos de pago que tiene la institución con los suplidores de servicios, retenciones impositivas y documentos por pagar, con una disminucion en el 2024  el total era de RD$ 25,324,025.58 y para el 2023 el total fue de RD$ 10,276,034.01 , Según el siguiente detalle:</v>
      </c>
      <c r="C374" s="20"/>
      <c r="D374" s="20"/>
      <c r="E374" s="20"/>
    </row>
    <row r="375" spans="2:26" ht="45" customHeight="1" x14ac:dyDescent="0.25">
      <c r="B375" s="14" t="s">
        <v>215</v>
      </c>
      <c r="C375" s="14"/>
      <c r="D375" s="14"/>
      <c r="E375" s="14"/>
    </row>
    <row r="376" spans="2:26" x14ac:dyDescent="0.25">
      <c r="B376" s="13" t="s">
        <v>216</v>
      </c>
    </row>
    <row r="377" spans="2:26" x14ac:dyDescent="0.25">
      <c r="B377" s="193" t="s">
        <v>217</v>
      </c>
      <c r="C377" s="178">
        <f>+[1]BALANZA!B4</f>
        <v>2024</v>
      </c>
      <c r="D377" s="178">
        <f>+[1]BALANZA!C4</f>
        <v>2023</v>
      </c>
      <c r="E377" s="194" t="s">
        <v>218</v>
      </c>
    </row>
    <row r="378" spans="2:26" x14ac:dyDescent="0.25">
      <c r="B378" s="159" t="s">
        <v>219</v>
      </c>
      <c r="C378" s="94">
        <f>+'[1]BALANZA G'!C100-C379</f>
        <v>18667152.960000001</v>
      </c>
      <c r="D378" s="94">
        <f>+'[1]BALANZA G'!D100-D379</f>
        <v>8032915.8499999996</v>
      </c>
      <c r="E378" s="44">
        <f>+C378-D378</f>
        <v>10634237.110000001</v>
      </c>
    </row>
    <row r="379" spans="2:26" x14ac:dyDescent="0.25">
      <c r="B379" s="159" t="s">
        <v>220</v>
      </c>
      <c r="C379" s="195">
        <f>800000+4413754.46</f>
        <v>5213754.46</v>
      </c>
      <c r="D379" s="94">
        <v>800000</v>
      </c>
      <c r="E379" s="44">
        <f>+C379-D379</f>
        <v>4413754.46</v>
      </c>
    </row>
    <row r="380" spans="2:26" x14ac:dyDescent="0.25">
      <c r="B380" s="159" t="s">
        <v>221</v>
      </c>
      <c r="C380" s="195">
        <f>+'[1]BALANZA G'!C101+'[1]BALANZA G'!C102</f>
        <v>1443118.16</v>
      </c>
      <c r="D380" s="94">
        <f>+'[1]BALANZA G'!D101+'[1]BALANZA G'!D102</f>
        <v>1443118.16</v>
      </c>
      <c r="E380" s="44">
        <f>+C380-D380</f>
        <v>0</v>
      </c>
    </row>
    <row r="381" spans="2:26" x14ac:dyDescent="0.25">
      <c r="B381" s="193" t="s">
        <v>222</v>
      </c>
      <c r="C381" s="121">
        <f>SUM(C378:C380)</f>
        <v>25324025.580000002</v>
      </c>
      <c r="D381" s="196">
        <f>SUM(D378:D380)</f>
        <v>10276034.01</v>
      </c>
      <c r="E381" s="121">
        <f>SUM(E378:E380)</f>
        <v>15047991.57</v>
      </c>
      <c r="R381" s="4" t="str">
        <f>+CONCATENATE(S381,",",T381,",",U381,V381,AB381,"")</f>
        <v>25,324,025.58</v>
      </c>
      <c r="S381" s="4" t="str">
        <f>MID(C381,1,2)</f>
        <v>25</v>
      </c>
      <c r="T381" s="4" t="str">
        <f>MID(C381,3,3)</f>
        <v>324</v>
      </c>
      <c r="U381" s="4" t="str">
        <f>MID(C381,6,3)</f>
        <v>025</v>
      </c>
      <c r="V381" s="4" t="str">
        <f>MID(C381,9,3)</f>
        <v>.58</v>
      </c>
    </row>
    <row r="382" spans="2:26" x14ac:dyDescent="0.25">
      <c r="B382" s="197"/>
      <c r="C382" s="198"/>
      <c r="D382" s="199"/>
      <c r="R382" s="4" t="str">
        <f>+CONCATENATE(S382,",",T382,",",U382,V382,AB382)</f>
        <v>10,276,034.01</v>
      </c>
      <c r="S382" s="4" t="str">
        <f>MID(D381,1,2)</f>
        <v>10</v>
      </c>
      <c r="T382" s="4" t="str">
        <f>MID(D381,3,3)</f>
        <v>276</v>
      </c>
      <c r="U382" s="4" t="str">
        <f>MID(D381,6,3)</f>
        <v>034</v>
      </c>
      <c r="V382" s="4" t="str">
        <f>MID(D381,9,3)</f>
        <v>.01</v>
      </c>
    </row>
    <row r="383" spans="2:26" s="45" customFormat="1" x14ac:dyDescent="0.25">
      <c r="B383" s="55" t="str">
        <f>("Cambio porcentual con relación al "&amp;$D$115&amp;".")</f>
        <v>Cambio porcentual con relación al 2023.</v>
      </c>
      <c r="C383" s="56"/>
      <c r="D383" s="57" t="str">
        <f>IF(E383&gt;=0,"Aumento","Disminución")</f>
        <v>Aumento</v>
      </c>
      <c r="E383" s="90">
        <f>+E381/D381</f>
        <v>1.46437736147586</v>
      </c>
      <c r="J383" s="49"/>
      <c r="N383" s="49"/>
      <c r="R383" s="50"/>
      <c r="S383" s="50"/>
      <c r="T383" s="50"/>
      <c r="U383" s="50"/>
      <c r="V383" s="50"/>
      <c r="W383" s="50"/>
      <c r="X383" s="50"/>
      <c r="Y383" s="50"/>
      <c r="Z383" s="49"/>
    </row>
    <row r="384" spans="2:26" ht="22.5" customHeight="1" x14ac:dyDescent="0.25">
      <c r="B384" s="7" t="s">
        <v>223</v>
      </c>
      <c r="C384" s="7"/>
      <c r="D384" s="7"/>
      <c r="E384" s="7"/>
    </row>
    <row r="385" spans="2:26" ht="12.75" customHeight="1" x14ac:dyDescent="0.25">
      <c r="B385" s="200"/>
      <c r="C385" s="200"/>
      <c r="D385" s="201"/>
      <c r="E385" s="200"/>
    </row>
    <row r="386" spans="2:26" hidden="1" x14ac:dyDescent="0.25">
      <c r="B386" s="65" t="s">
        <v>224</v>
      </c>
    </row>
    <row r="387" spans="2:26" ht="24" hidden="1" customHeight="1" x14ac:dyDescent="0.25">
      <c r="B387" s="20" t="str">
        <f>+B134</f>
        <v>Un detalle del Inversiones a corto plazo al 30 de Noviembre del 2024 - 2023 es como se detalla a continuación:</v>
      </c>
      <c r="C387" s="20"/>
      <c r="D387" s="20"/>
      <c r="E387" s="20"/>
    </row>
    <row r="388" spans="2:26" ht="78" hidden="1" customHeight="1" x14ac:dyDescent="0.25">
      <c r="B388" s="20" t="str">
        <f>("Los Prestamos por Pagar está integrado por las deudas y compromisos de pago que tiene la institución con los bancos, para el "&amp;C390&amp;" el total era de RD$"&amp;C392&amp;" y para el "&amp;D390&amp;" el total fue de RD$"&amp;D392&amp;" , Según el siguiente detalle:")</f>
        <v>Los Prestamos por Pagar está integrado por las deudas y compromisos de pago que tiene la institución con los bancos, para el 2024 el total era de RD$0 y para el 2023 el total fue de RD$0 , Según el siguiente detalle:</v>
      </c>
      <c r="C388" s="20"/>
      <c r="D388" s="20"/>
      <c r="E388" s="20"/>
    </row>
    <row r="389" spans="2:26" hidden="1" x14ac:dyDescent="0.25">
      <c r="B389" s="13" t="s">
        <v>216</v>
      </c>
    </row>
    <row r="390" spans="2:26" hidden="1" x14ac:dyDescent="0.25">
      <c r="B390" s="193" t="s">
        <v>217</v>
      </c>
      <c r="C390" s="178">
        <f>+C137</f>
        <v>2024</v>
      </c>
      <c r="D390" s="202">
        <f>+D137</f>
        <v>2023</v>
      </c>
      <c r="E390" s="194" t="s">
        <v>218</v>
      </c>
    </row>
    <row r="391" spans="2:26" hidden="1" x14ac:dyDescent="0.25">
      <c r="B391" s="159" t="s">
        <v>225</v>
      </c>
      <c r="C391" s="84">
        <f>+'[1]BALANZA G'!C111</f>
        <v>0</v>
      </c>
      <c r="D391" s="94">
        <f>+'[1]BALANZA G'!D111</f>
        <v>0</v>
      </c>
      <c r="E391" s="83">
        <f>+C391-D391</f>
        <v>0</v>
      </c>
    </row>
    <row r="392" spans="2:26" hidden="1" x14ac:dyDescent="0.25">
      <c r="B392" s="193" t="s">
        <v>226</v>
      </c>
      <c r="C392" s="121">
        <f>SUM(C391:C391)</f>
        <v>0</v>
      </c>
      <c r="D392" s="196">
        <f>SUM(D391:D391)</f>
        <v>0</v>
      </c>
      <c r="E392" s="121">
        <f>SUM(E391:E391)</f>
        <v>0</v>
      </c>
    </row>
    <row r="393" spans="2:26" hidden="1" x14ac:dyDescent="0.25">
      <c r="B393" s="197"/>
      <c r="C393" s="87"/>
      <c r="D393" s="199"/>
    </row>
    <row r="394" spans="2:26" s="45" customFormat="1" hidden="1" x14ac:dyDescent="0.25">
      <c r="B394" s="203" t="s">
        <v>227</v>
      </c>
      <c r="C394" s="204"/>
      <c r="D394" s="57" t="e">
        <f>IF(E394&gt;=0,"Aumento","Disminución")</f>
        <v>#DIV/0!</v>
      </c>
      <c r="E394" s="90" t="e">
        <f>+E392/D392</f>
        <v>#DIV/0!</v>
      </c>
      <c r="J394" s="49"/>
      <c r="N394" s="49"/>
      <c r="R394" s="50"/>
      <c r="S394" s="50"/>
      <c r="T394" s="50"/>
      <c r="U394" s="50"/>
      <c r="V394" s="50"/>
      <c r="W394" s="50"/>
      <c r="X394" s="50"/>
      <c r="Y394" s="50"/>
      <c r="Z394" s="49"/>
    </row>
    <row r="395" spans="2:26" s="45" customFormat="1" x14ac:dyDescent="0.25">
      <c r="B395" s="62"/>
      <c r="C395" s="62"/>
      <c r="D395" s="60"/>
      <c r="E395" s="63"/>
      <c r="J395" s="49"/>
      <c r="N395" s="49"/>
      <c r="R395" s="50"/>
      <c r="S395" s="50"/>
      <c r="T395" s="50"/>
      <c r="U395" s="50"/>
      <c r="V395" s="50"/>
      <c r="W395" s="50"/>
      <c r="X395" s="50"/>
      <c r="Y395" s="50"/>
      <c r="Z395" s="49"/>
    </row>
    <row r="396" spans="2:26" s="45" customFormat="1" x14ac:dyDescent="0.25">
      <c r="B396" s="62"/>
      <c r="C396" s="62"/>
      <c r="D396" s="60"/>
      <c r="E396" s="63"/>
      <c r="J396" s="49"/>
      <c r="N396" s="49"/>
      <c r="R396" s="50"/>
      <c r="S396" s="50"/>
      <c r="T396" s="50"/>
      <c r="U396" s="50"/>
      <c r="V396" s="50"/>
      <c r="W396" s="50"/>
      <c r="X396" s="50"/>
      <c r="Y396" s="50"/>
      <c r="Z396" s="49"/>
    </row>
    <row r="397" spans="2:26" s="45" customFormat="1" x14ac:dyDescent="0.25">
      <c r="B397" s="62"/>
      <c r="C397" s="62"/>
      <c r="D397" s="60"/>
      <c r="E397" s="63"/>
      <c r="J397" s="49"/>
      <c r="N397" s="49"/>
      <c r="R397" s="50"/>
      <c r="S397" s="50"/>
      <c r="T397" s="50"/>
      <c r="U397" s="50"/>
      <c r="V397" s="50"/>
      <c r="W397" s="50"/>
      <c r="X397" s="50"/>
      <c r="Y397" s="50"/>
      <c r="Z397" s="49"/>
    </row>
    <row r="398" spans="2:26" s="45" customFormat="1" x14ac:dyDescent="0.25">
      <c r="B398" s="62"/>
      <c r="C398" s="62"/>
      <c r="D398" s="60"/>
      <c r="E398" s="63"/>
      <c r="J398" s="49"/>
      <c r="N398" s="49"/>
      <c r="R398" s="50"/>
      <c r="S398" s="50"/>
      <c r="T398" s="50"/>
      <c r="U398" s="50"/>
      <c r="V398" s="50"/>
      <c r="W398" s="50"/>
      <c r="X398" s="50"/>
      <c r="Y398" s="50"/>
      <c r="Z398" s="49"/>
    </row>
    <row r="399" spans="2:26" s="45" customFormat="1" x14ac:dyDescent="0.25">
      <c r="B399" s="62"/>
      <c r="C399" s="62"/>
      <c r="D399" s="60"/>
      <c r="E399" s="63"/>
      <c r="J399" s="49"/>
      <c r="N399" s="49"/>
      <c r="R399" s="50"/>
      <c r="S399" s="50"/>
      <c r="T399" s="50"/>
      <c r="U399" s="50"/>
      <c r="V399" s="50"/>
      <c r="W399" s="50"/>
      <c r="X399" s="50"/>
      <c r="Y399" s="50"/>
      <c r="Z399" s="49"/>
    </row>
    <row r="400" spans="2:26" s="45" customFormat="1" x14ac:dyDescent="0.25">
      <c r="B400" s="62"/>
      <c r="C400" s="62"/>
      <c r="D400" s="60"/>
      <c r="E400" s="63"/>
      <c r="J400" s="49"/>
      <c r="N400" s="49"/>
      <c r="R400" s="50"/>
      <c r="S400" s="50"/>
      <c r="T400" s="50"/>
      <c r="U400" s="50"/>
      <c r="V400" s="50"/>
      <c r="W400" s="50"/>
      <c r="X400" s="50"/>
      <c r="Y400" s="50"/>
      <c r="Z400" s="49"/>
    </row>
    <row r="401" spans="2:26" s="45" customFormat="1" x14ac:dyDescent="0.25">
      <c r="B401" s="62"/>
      <c r="C401" s="62"/>
      <c r="D401" s="60"/>
      <c r="E401" s="63"/>
      <c r="J401" s="49"/>
      <c r="N401" s="49"/>
      <c r="R401" s="50"/>
      <c r="S401" s="50"/>
      <c r="T401" s="50"/>
      <c r="U401" s="50"/>
      <c r="V401" s="50"/>
      <c r="W401" s="50"/>
      <c r="X401" s="50"/>
      <c r="Y401" s="50"/>
      <c r="Z401" s="49"/>
    </row>
    <row r="402" spans="2:26" s="45" customFormat="1" x14ac:dyDescent="0.25">
      <c r="B402" s="62"/>
      <c r="C402" s="62"/>
      <c r="D402" s="60"/>
      <c r="E402" s="63"/>
      <c r="J402" s="49"/>
      <c r="N402" s="49"/>
      <c r="R402" s="50"/>
      <c r="S402" s="50"/>
      <c r="T402" s="50"/>
      <c r="U402" s="50"/>
      <c r="V402" s="50"/>
      <c r="W402" s="50"/>
      <c r="X402" s="50"/>
      <c r="Y402" s="50"/>
      <c r="Z402" s="49"/>
    </row>
    <row r="403" spans="2:26" s="45" customFormat="1" x14ac:dyDescent="0.25">
      <c r="B403" s="62"/>
      <c r="C403" s="62"/>
      <c r="D403" s="60"/>
      <c r="E403" s="63"/>
      <c r="J403" s="49"/>
      <c r="N403" s="49"/>
      <c r="R403" s="50"/>
      <c r="S403" s="50"/>
      <c r="T403" s="50"/>
      <c r="U403" s="50"/>
      <c r="V403" s="50"/>
      <c r="W403" s="50"/>
      <c r="X403" s="50"/>
      <c r="Y403" s="50"/>
      <c r="Z403" s="49"/>
    </row>
    <row r="404" spans="2:26" s="45" customFormat="1" x14ac:dyDescent="0.25">
      <c r="B404" s="62"/>
      <c r="C404" s="62"/>
      <c r="D404" s="60"/>
      <c r="E404" s="63"/>
      <c r="J404" s="49"/>
      <c r="N404" s="49"/>
      <c r="R404" s="50"/>
      <c r="S404" s="50"/>
      <c r="T404" s="50"/>
      <c r="U404" s="50"/>
      <c r="V404" s="50"/>
      <c r="W404" s="50"/>
      <c r="X404" s="50"/>
      <c r="Y404" s="50"/>
      <c r="Z404" s="49"/>
    </row>
    <row r="405" spans="2:26" s="45" customFormat="1" x14ac:dyDescent="0.25">
      <c r="B405" s="62"/>
      <c r="C405" s="62"/>
      <c r="D405" s="60"/>
      <c r="E405" s="63"/>
      <c r="J405" s="49"/>
      <c r="N405" s="49"/>
      <c r="R405" s="50"/>
      <c r="S405" s="50"/>
      <c r="T405" s="50"/>
      <c r="U405" s="50"/>
      <c r="V405" s="50"/>
      <c r="W405" s="50"/>
      <c r="X405" s="50"/>
      <c r="Y405" s="50"/>
      <c r="Z405" s="49"/>
    </row>
    <row r="406" spans="2:26" s="45" customFormat="1" x14ac:dyDescent="0.25">
      <c r="B406" s="62"/>
      <c r="C406" s="62"/>
      <c r="D406" s="60"/>
      <c r="E406" s="63"/>
      <c r="J406" s="49"/>
      <c r="N406" s="49"/>
      <c r="R406" s="50"/>
      <c r="S406" s="50"/>
      <c r="T406" s="50"/>
      <c r="U406" s="50"/>
      <c r="V406" s="50"/>
      <c r="W406" s="50"/>
      <c r="X406" s="50"/>
      <c r="Y406" s="50"/>
      <c r="Z406" s="49"/>
    </row>
    <row r="407" spans="2:26" s="45" customFormat="1" ht="17.25" customHeight="1" x14ac:dyDescent="0.25">
      <c r="B407" s="62" t="s">
        <v>228</v>
      </c>
      <c r="C407" s="62"/>
      <c r="D407" s="60"/>
      <c r="E407" s="63"/>
      <c r="J407" s="49"/>
      <c r="N407" s="49"/>
      <c r="R407" s="50"/>
      <c r="S407" s="50"/>
      <c r="T407" s="50"/>
      <c r="U407" s="50"/>
      <c r="V407" s="50"/>
      <c r="W407" s="50"/>
      <c r="X407" s="50"/>
      <c r="Y407" s="50"/>
      <c r="Z407" s="49"/>
    </row>
    <row r="408" spans="2:26" s="45" customFormat="1" ht="17.25" customHeight="1" x14ac:dyDescent="0.25">
      <c r="B408" s="62" t="s">
        <v>229</v>
      </c>
      <c r="C408" s="62"/>
      <c r="D408" s="60"/>
      <c r="E408" s="63"/>
      <c r="J408" s="49"/>
      <c r="N408" s="49"/>
      <c r="R408" s="50"/>
      <c r="S408" s="50"/>
      <c r="T408" s="50"/>
      <c r="U408" s="50"/>
      <c r="V408" s="50"/>
      <c r="W408" s="50"/>
      <c r="X408" s="50"/>
      <c r="Y408" s="50"/>
      <c r="Z408" s="49"/>
    </row>
    <row r="409" spans="2:26" x14ac:dyDescent="0.25">
      <c r="B409" s="65" t="s">
        <v>230</v>
      </c>
    </row>
    <row r="410" spans="2:26" ht="20.25" customHeight="1" x14ac:dyDescent="0.25">
      <c r="B410" s="14" t="str">
        <f>("Un detalle de las  "&amp;B409&amp;" al "&amp;[1]BALANZA!$B$3&amp;" "&amp;[1]BALANZA!$C$3&amp;" es como se detalla a continuación:")</f>
        <v>Un detalle de las  Acumulaciones por pagar al 30 de Noviembre del 2024 - 2023 es como se detalla a continuación:</v>
      </c>
      <c r="C410" s="32"/>
      <c r="D410" s="32"/>
      <c r="E410" s="32"/>
    </row>
    <row r="411" spans="2:26" ht="36" customHeight="1" x14ac:dyDescent="0.25">
      <c r="B411" s="20" t="str">
        <f>("Las acumulaciones por pagar para el "&amp;C413&amp;" el total era RD$ "&amp;R417&amp;" y para el "&amp;D413&amp;" el total fue de RD$ "&amp;R418&amp;" , Según el siguiente detalle:")</f>
        <v>Las acumulaciones por pagar para el 2024 el total era RD$ 252,299.30 y para el 2023 el total fue de RD$ 252,299.30 , Según el siguiente detalle:</v>
      </c>
      <c r="C411" s="20"/>
      <c r="D411" s="20"/>
      <c r="E411" s="20"/>
    </row>
    <row r="412" spans="2:26" ht="9" customHeight="1" x14ac:dyDescent="0.25">
      <c r="B412" s="205"/>
      <c r="C412" s="205"/>
      <c r="D412" s="205"/>
      <c r="E412" s="205"/>
    </row>
    <row r="413" spans="2:26" x14ac:dyDescent="0.25">
      <c r="B413" s="193" t="s">
        <v>217</v>
      </c>
      <c r="C413" s="178">
        <f>+C137</f>
        <v>2024</v>
      </c>
      <c r="D413" s="178">
        <f>+D137</f>
        <v>2023</v>
      </c>
      <c r="E413" s="194" t="s">
        <v>218</v>
      </c>
    </row>
    <row r="414" spans="2:26" x14ac:dyDescent="0.25">
      <c r="B414" s="159" t="s">
        <v>231</v>
      </c>
      <c r="C414" s="94">
        <f>+'[1]BALANZA G'!C107+'[1]BALANZA G'!C108</f>
        <v>252299.3</v>
      </c>
      <c r="D414" s="94">
        <f>+'[1]BALANZA G'!D107+'[1]BALANZA G'!D108</f>
        <v>252299.3</v>
      </c>
      <c r="E414" s="44">
        <f>+C414-D414</f>
        <v>0</v>
      </c>
    </row>
    <row r="415" spans="2:26" ht="14.25" customHeight="1" x14ac:dyDescent="0.25">
      <c r="B415" s="159" t="s">
        <v>232</v>
      </c>
      <c r="C415" s="94">
        <f>+'[1]BALANZA G'!C97+'[1]BALANZA G'!C98</f>
        <v>0</v>
      </c>
      <c r="D415" s="94">
        <f>+'[1]BALANZA G'!D97+'[1]BALANZA G'!D98</f>
        <v>0</v>
      </c>
      <c r="E415" s="44">
        <f>+C415-D415</f>
        <v>0</v>
      </c>
    </row>
    <row r="416" spans="2:26" hidden="1" x14ac:dyDescent="0.25">
      <c r="B416" s="159"/>
      <c r="C416" s="94"/>
      <c r="D416" s="94"/>
      <c r="E416" s="44"/>
    </row>
    <row r="417" spans="2:26" x14ac:dyDescent="0.25">
      <c r="B417" s="193" t="s">
        <v>233</v>
      </c>
      <c r="C417" s="196">
        <f>SUM(C414:C416)</f>
        <v>252299.3</v>
      </c>
      <c r="D417" s="196">
        <f>SUM(D414:D416)</f>
        <v>252299.3</v>
      </c>
      <c r="E417" s="196">
        <f>SUM(E414:E416)</f>
        <v>0</v>
      </c>
      <c r="R417" s="4" t="str">
        <f>+CONCATENATE(T417,",",U417,"",V417,"0")</f>
        <v>252,299.30</v>
      </c>
      <c r="T417" s="4" t="str">
        <f>MID(C417,1,3)</f>
        <v>252</v>
      </c>
      <c r="U417" s="4" t="str">
        <f>MID(C417,4,3)</f>
        <v>299</v>
      </c>
      <c r="V417" s="4" t="str">
        <f>MID(C417,7,3)</f>
        <v>.3</v>
      </c>
    </row>
    <row r="418" spans="2:26" ht="10.5" customHeight="1" x14ac:dyDescent="0.25">
      <c r="B418" s="197"/>
      <c r="C418" s="97">
        <f>+C417-'[1]ES F '!B36+C434</f>
        <v>0</v>
      </c>
      <c r="D418" s="199"/>
      <c r="R418" s="4" t="str">
        <f>+CONCATENATE(S418,",",T418,U418,V418,AB418,"0")</f>
        <v>252,299.30</v>
      </c>
      <c r="S418" s="4" t="str">
        <f>MID(D417,1,3)</f>
        <v>252</v>
      </c>
      <c r="T418" s="4" t="str">
        <f>MID(D417,4,3)</f>
        <v>299</v>
      </c>
      <c r="U418" s="4" t="str">
        <f>MID(D417,7,3)</f>
        <v>.3</v>
      </c>
    </row>
    <row r="419" spans="2:26" s="45" customFormat="1" x14ac:dyDescent="0.25">
      <c r="B419" s="55" t="str">
        <f>("Cambio porcentual con relación al "&amp;$D$115&amp;".")</f>
        <v>Cambio porcentual con relación al 2023.</v>
      </c>
      <c r="C419" s="56"/>
      <c r="D419" s="57" t="str">
        <f>IF(E419&gt;=0,"Aumento","Disminución")</f>
        <v>Aumento</v>
      </c>
      <c r="E419" s="90">
        <f>+E417/D417</f>
        <v>0</v>
      </c>
      <c r="J419" s="49"/>
      <c r="N419" s="49"/>
      <c r="R419" s="50"/>
      <c r="S419" s="50"/>
      <c r="T419" s="50"/>
      <c r="U419" s="50"/>
      <c r="V419" s="50"/>
      <c r="W419" s="50"/>
      <c r="X419" s="50"/>
      <c r="Y419" s="50"/>
      <c r="Z419" s="49"/>
    </row>
    <row r="420" spans="2:26" s="45" customFormat="1" ht="6" customHeight="1" x14ac:dyDescent="0.25">
      <c r="B420" s="62"/>
      <c r="C420" s="62"/>
      <c r="D420" s="60"/>
      <c r="E420" s="63"/>
      <c r="J420" s="49"/>
      <c r="N420" s="49"/>
      <c r="R420" s="50"/>
      <c r="S420" s="50"/>
      <c r="T420" s="50"/>
      <c r="U420" s="50"/>
      <c r="V420" s="50"/>
      <c r="W420" s="50"/>
      <c r="X420" s="50"/>
      <c r="Y420" s="50"/>
      <c r="Z420" s="49"/>
    </row>
    <row r="421" spans="2:26" ht="14.25" customHeight="1" x14ac:dyDescent="0.25">
      <c r="B421" s="65" t="s">
        <v>234</v>
      </c>
      <c r="C421" s="200"/>
      <c r="D421" s="200"/>
      <c r="E421" s="200"/>
    </row>
    <row r="422" spans="2:26" ht="24.75" customHeight="1" x14ac:dyDescent="0.25">
      <c r="B422" s="14" t="str">
        <f>("Un detalle de las "&amp;B421&amp;" al "&amp;[1]BALANZA!$B$3&amp;" "&amp;[1]BALANZA!$C$3&amp;" es como se detalla a continuación:")</f>
        <v>Un detalle de las Retenciones por pagar al 30 de Noviembre del 2024 - 2023 es como se detalla a continuación:</v>
      </c>
      <c r="C422" s="32"/>
      <c r="D422" s="32"/>
      <c r="E422" s="32"/>
    </row>
    <row r="423" spans="2:26" ht="29.25" customHeight="1" x14ac:dyDescent="0.25">
      <c r="B423" s="20" t="str">
        <f>("Las  retenciones impositivas  por pagar  para el "&amp;C426&amp;" el total era RD$ "&amp;R434&amp;" y para el "&amp;D426&amp;" el total fue de RD$ "&amp;R435&amp;" , Según el siguiente detalle:")</f>
        <v>Las  retenciones impositivas  por pagar  para el 2024 el total era RD$ 249,425.64 y para el 2023 el total fue de RD$ 580,529.46 , Según el siguiente detalle:</v>
      </c>
      <c r="C423" s="20"/>
      <c r="D423" s="20"/>
      <c r="E423" s="20"/>
    </row>
    <row r="424" spans="2:26" ht="6" customHeight="1" x14ac:dyDescent="0.25">
      <c r="B424" s="65"/>
      <c r="C424" s="200"/>
      <c r="D424" s="200"/>
      <c r="E424" s="200"/>
    </row>
    <row r="425" spans="2:26" ht="9.75" customHeight="1" x14ac:dyDescent="0.25">
      <c r="B425" s="65"/>
      <c r="C425" s="200"/>
      <c r="D425" s="200"/>
      <c r="E425" s="200"/>
    </row>
    <row r="426" spans="2:26" ht="17.25" customHeight="1" x14ac:dyDescent="0.25">
      <c r="B426" s="193" t="s">
        <v>217</v>
      </c>
      <c r="C426" s="178">
        <f>+C413</f>
        <v>2024</v>
      </c>
      <c r="D426" s="178">
        <f>+D413</f>
        <v>2023</v>
      </c>
      <c r="E426" s="206" t="s">
        <v>218</v>
      </c>
    </row>
    <row r="427" spans="2:26" ht="17.25" hidden="1" customHeight="1" x14ac:dyDescent="0.25">
      <c r="B427" s="116" t="s">
        <v>235</v>
      </c>
      <c r="C427" s="84">
        <f>+'[1]BALANZA G'!C87</f>
        <v>0</v>
      </c>
      <c r="D427" s="94">
        <f>+'[1]BALANZA G'!D87</f>
        <v>0</v>
      </c>
      <c r="E427" s="83">
        <f>+C427-D427</f>
        <v>0</v>
      </c>
    </row>
    <row r="428" spans="2:26" ht="17.25" hidden="1" customHeight="1" x14ac:dyDescent="0.25">
      <c r="B428" s="116" t="s">
        <v>236</v>
      </c>
      <c r="C428" s="84">
        <f>+'[1]BALANZA G'!C89</f>
        <v>0</v>
      </c>
      <c r="D428" s="94">
        <f>+'[1]BALANZA G'!D89</f>
        <v>0</v>
      </c>
      <c r="E428" s="83">
        <f t="shared" ref="E428:E433" si="2">+C428-D428</f>
        <v>0</v>
      </c>
    </row>
    <row r="429" spans="2:26" ht="17.25" customHeight="1" x14ac:dyDescent="0.25">
      <c r="B429" s="116" t="s">
        <v>237</v>
      </c>
      <c r="C429" s="84">
        <f>+'[1]BALANZA G'!C90</f>
        <v>172.63</v>
      </c>
      <c r="D429" s="94">
        <f>+'[1]BALANZA G'!D90</f>
        <v>0</v>
      </c>
      <c r="E429" s="83">
        <f t="shared" si="2"/>
        <v>172.63</v>
      </c>
    </row>
    <row r="430" spans="2:26" ht="17.25" customHeight="1" x14ac:dyDescent="0.25">
      <c r="B430" s="116" t="s">
        <v>238</v>
      </c>
      <c r="C430" s="84">
        <f>+'[1]BALANZA G'!C91</f>
        <v>0</v>
      </c>
      <c r="D430" s="94">
        <f>+'[1]BALANZA G'!D91</f>
        <v>95474.43</v>
      </c>
      <c r="E430" s="83">
        <f t="shared" si="2"/>
        <v>-95474.43</v>
      </c>
    </row>
    <row r="431" spans="2:26" ht="17.25" customHeight="1" x14ac:dyDescent="0.25">
      <c r="B431" s="116" t="s">
        <v>239</v>
      </c>
      <c r="C431" s="84">
        <f>+'[1]BALANZA G'!C92</f>
        <v>0.01</v>
      </c>
      <c r="D431" s="94">
        <f>+'[1]BALANZA G'!D92</f>
        <v>54758.709999999992</v>
      </c>
      <c r="E431" s="83">
        <f t="shared" si="2"/>
        <v>-54758.69999999999</v>
      </c>
    </row>
    <row r="432" spans="2:26" ht="15" customHeight="1" x14ac:dyDescent="0.25">
      <c r="B432" s="116" t="s">
        <v>240</v>
      </c>
      <c r="C432" s="84">
        <f>+'[1]BALANZA G'!C93+'[1]BALANZA G'!C88</f>
        <v>3605.1</v>
      </c>
      <c r="D432" s="84">
        <f>+'[1]BALANZA G'!D93+'[1]BALANZA G'!D88</f>
        <v>6174.31</v>
      </c>
      <c r="E432" s="83">
        <f t="shared" si="2"/>
        <v>-2569.2100000000005</v>
      </c>
    </row>
    <row r="433" spans="2:28" ht="17.25" customHeight="1" x14ac:dyDescent="0.25">
      <c r="B433" s="116" t="s">
        <v>241</v>
      </c>
      <c r="C433" s="84">
        <f>+'[1]BALANZA G'!C94</f>
        <v>245647.9</v>
      </c>
      <c r="D433" s="94">
        <f>+'[1]BALANZA G'!D94</f>
        <v>424122.01</v>
      </c>
      <c r="E433" s="83">
        <f t="shared" si="2"/>
        <v>-178474.11000000002</v>
      </c>
    </row>
    <row r="434" spans="2:28" ht="17.25" customHeight="1" x14ac:dyDescent="0.25">
      <c r="B434" s="193" t="s">
        <v>242</v>
      </c>
      <c r="C434" s="121">
        <f>SUM(C427:C433)</f>
        <v>249425.63999999998</v>
      </c>
      <c r="D434" s="196">
        <f>SUM(D427:D433)</f>
        <v>580529.46</v>
      </c>
      <c r="E434" s="121">
        <f>SUM(E427:E433)</f>
        <v>-331103.81999999995</v>
      </c>
      <c r="R434" s="4" t="str">
        <f>+CONCATENATE(T434,",",U434,"",V434,AB434)</f>
        <v>249,425.64</v>
      </c>
      <c r="T434" s="4" t="str">
        <f>MID(C434,1,3)</f>
        <v>249</v>
      </c>
      <c r="U434" s="4" t="str">
        <f>MID(C434,4,3)</f>
        <v>425</v>
      </c>
      <c r="V434" s="4" t="str">
        <f>MID(C434,7,3)</f>
        <v>.64</v>
      </c>
      <c r="Z434" s="2"/>
      <c r="AA434" s="2" t="str">
        <f>MID(H434,7,3)</f>
        <v/>
      </c>
      <c r="AB434" s="2" t="str">
        <f>MID(C434,10,3)</f>
        <v/>
      </c>
    </row>
    <row r="435" spans="2:28" ht="6" customHeight="1" x14ac:dyDescent="0.25">
      <c r="B435" s="197"/>
      <c r="C435" s="97">
        <f>+C434-'[1]ES F '!B36+C417</f>
        <v>0</v>
      </c>
      <c r="D435" s="199"/>
      <c r="R435" s="4" t="str">
        <f>+CONCATENATE(S435,,T435,",",U435,V435,AB435)</f>
        <v>580,529.46</v>
      </c>
      <c r="T435" s="4" t="str">
        <f>MID(D434,1,3)</f>
        <v>580</v>
      </c>
      <c r="U435" s="4" t="str">
        <f>MID(D434,4,3)</f>
        <v>529</v>
      </c>
      <c r="V435" s="4" t="str">
        <f>MID(D434,7,3)</f>
        <v>.46</v>
      </c>
      <c r="W435" s="4" t="str">
        <f>MID(H434,1,3)</f>
        <v/>
      </c>
      <c r="X435" s="4" t="str">
        <f>MID(I434,1,3)</f>
        <v/>
      </c>
      <c r="Y435" s="4" t="str">
        <f>MID(J434,1,3)</f>
        <v/>
      </c>
      <c r="Z435" s="2"/>
      <c r="AA435" s="2" t="str">
        <f>MID(L434,1,3)</f>
        <v/>
      </c>
      <c r="AB435" s="2" t="str">
        <f>MID(D434,11,3)</f>
        <v/>
      </c>
    </row>
    <row r="436" spans="2:28" ht="14.25" customHeight="1" x14ac:dyDescent="0.25">
      <c r="B436" s="55" t="str">
        <f>("Cambio porcentual con relación al "&amp;$D$115&amp;".")</f>
        <v>Cambio porcentual con relación al 2023.</v>
      </c>
      <c r="C436" s="56"/>
      <c r="D436" s="57" t="str">
        <f>IF(E436&gt;=0,"Aumento","Disminución")</f>
        <v>Disminución</v>
      </c>
      <c r="E436" s="90">
        <f>+E434/D434</f>
        <v>-0.57034800611152436</v>
      </c>
    </row>
    <row r="437" spans="2:28" ht="7.5" customHeight="1" x14ac:dyDescent="0.25">
      <c r="B437" s="200"/>
      <c r="C437" s="200"/>
      <c r="D437" s="200"/>
      <c r="E437" s="200"/>
    </row>
    <row r="438" spans="2:28" ht="16.5" customHeight="1" x14ac:dyDescent="0.25">
      <c r="B438" s="207" t="s">
        <v>243</v>
      </c>
      <c r="C438" s="208">
        <f>+C434+C417</f>
        <v>501724.93999999994</v>
      </c>
      <c r="D438" s="208">
        <f>+D434+D417</f>
        <v>832828.76</v>
      </c>
      <c r="E438" s="121">
        <f>SUM(E431:E437)</f>
        <v>-566906.41034800606</v>
      </c>
    </row>
    <row r="439" spans="2:28" ht="14.25" customHeight="1" x14ac:dyDescent="0.25">
      <c r="B439" s="200"/>
      <c r="C439" s="200"/>
      <c r="D439" s="200"/>
      <c r="E439" s="200"/>
    </row>
    <row r="440" spans="2:28" ht="14.25" customHeight="1" x14ac:dyDescent="0.25">
      <c r="B440" s="65" t="s">
        <v>244</v>
      </c>
      <c r="C440" s="200"/>
      <c r="D440" s="200"/>
      <c r="E440" s="200"/>
    </row>
    <row r="441" spans="2:28" ht="19.5" customHeight="1" x14ac:dyDescent="0.25">
      <c r="B441" s="65" t="s">
        <v>245</v>
      </c>
      <c r="C441" s="200"/>
      <c r="D441" s="31"/>
      <c r="E441" s="200"/>
    </row>
    <row r="442" spans="2:28" ht="26.25" customHeight="1" x14ac:dyDescent="0.25">
      <c r="B442" s="14" t="str">
        <f>("Un detalle del "&amp;B441&amp;" al "&amp;[1]BALANZA!$B$3&amp;" "&amp;[1]BALANZA!$C$3&amp;" es como se detalla a continuación:")</f>
        <v>Un detalle del Activos Netos/Patrimonio al 30 de Noviembre del 2024 - 2023 es como se detalla a continuación:</v>
      </c>
      <c r="C442" s="32"/>
      <c r="D442" s="32"/>
      <c r="E442" s="32"/>
    </row>
    <row r="443" spans="2:28" ht="38.25" customHeight="1" x14ac:dyDescent="0.25">
      <c r="B443" s="209" t="str">
        <f>("El patrimonio institucional  para el "&amp;C445&amp;" tenia monto por RD$ "&amp;R450&amp;" y para el "&amp;D445&amp;" el monto fue de RD$ "&amp;R451&amp;" y está conformado con las siguientes partidas: ")</f>
        <v xml:space="preserve">El patrimonio institucional  para el 2024 tenia monto por RD$ 1,139,724,344.49 y para el 2023 el monto fue de RD$ 1,044,940,074.58 y está conformado con las siguientes partidas: </v>
      </c>
      <c r="C443" s="20"/>
      <c r="D443" s="20"/>
      <c r="E443" s="20"/>
    </row>
    <row r="444" spans="2:28" ht="9.75" customHeight="1" x14ac:dyDescent="0.25">
      <c r="B444" s="13"/>
    </row>
    <row r="445" spans="2:28" x14ac:dyDescent="0.25">
      <c r="B445" s="193" t="s">
        <v>217</v>
      </c>
      <c r="C445" s="33">
        <f>+C591</f>
        <v>2024</v>
      </c>
      <c r="D445" s="33">
        <f>+D591</f>
        <v>2023</v>
      </c>
      <c r="E445" s="206" t="s">
        <v>218</v>
      </c>
    </row>
    <row r="446" spans="2:28" x14ac:dyDescent="0.25">
      <c r="B446" s="210" t="s">
        <v>246</v>
      </c>
      <c r="C446" s="211">
        <f>+'[1]BALANZA G'!C120</f>
        <v>808793054.60000002</v>
      </c>
      <c r="D446" s="211">
        <f>+'[1]BALANZA G'!D120</f>
        <v>808793054.60000002</v>
      </c>
      <c r="E446" s="44">
        <f>+C446-D446</f>
        <v>0</v>
      </c>
      <c r="U446" s="212"/>
    </row>
    <row r="447" spans="2:28" x14ac:dyDescent="0.25">
      <c r="B447" s="210" t="s">
        <v>247</v>
      </c>
      <c r="C447" s="213">
        <f>+D449+D448+D447</f>
        <v>236147019.98000008</v>
      </c>
      <c r="D447" s="213">
        <v>324395677.65000004</v>
      </c>
      <c r="E447" s="44">
        <f>+C447-D447</f>
        <v>-88248657.669999957</v>
      </c>
      <c r="I447" s="93"/>
      <c r="U447" s="212"/>
    </row>
    <row r="448" spans="2:28" x14ac:dyDescent="0.25">
      <c r="B448" s="37" t="s">
        <v>248</v>
      </c>
      <c r="C448" s="213">
        <f>+[1]BALANZA!B6</f>
        <v>0</v>
      </c>
      <c r="D448" s="213">
        <v>149428.04999999999</v>
      </c>
      <c r="E448" s="44">
        <f>+C448-D448</f>
        <v>-149428.04999999999</v>
      </c>
      <c r="I448" s="93"/>
      <c r="U448" s="212"/>
      <c r="Z448" s="2"/>
    </row>
    <row r="449" spans="2:27" x14ac:dyDescent="0.25">
      <c r="B449" s="37" t="s">
        <v>249</v>
      </c>
      <c r="C449" s="213">
        <f>+[1]ERF!B35</f>
        <v>94784269.910000026</v>
      </c>
      <c r="D449" s="213">
        <f>+[1]ERF!C30</f>
        <v>-88398085.719999969</v>
      </c>
      <c r="E449" s="44">
        <f>+C449-D449</f>
        <v>183182355.63</v>
      </c>
      <c r="I449" s="93"/>
      <c r="U449" s="212"/>
      <c r="Z449" s="49"/>
    </row>
    <row r="450" spans="2:27" x14ac:dyDescent="0.25">
      <c r="B450" s="85" t="s">
        <v>250</v>
      </c>
      <c r="C450" s="214">
        <f>SUM(C446:C449)</f>
        <v>1139724344.4900002</v>
      </c>
      <c r="D450" s="214">
        <f>SUM(D446:D449)</f>
        <v>1044940074.5799999</v>
      </c>
      <c r="E450" s="214">
        <f>SUM(E446:E449)</f>
        <v>94784269.910000041</v>
      </c>
      <c r="I450" s="93"/>
      <c r="R450" s="4" t="str">
        <f>+CONCATENATE(S450,",",T450,",",U450,",",V450,W450)</f>
        <v>1,139,724,344.49</v>
      </c>
      <c r="S450" s="4" t="str">
        <f>MID(C450,1,1)</f>
        <v>1</v>
      </c>
      <c r="T450" s="4" t="str">
        <f>MID(C450,2,3)</f>
        <v>139</v>
      </c>
      <c r="U450" s="4" t="str">
        <f>MID(C450,5,3)</f>
        <v>724</v>
      </c>
      <c r="V450" s="4" t="str">
        <f>MID(C450,8,3)</f>
        <v>344</v>
      </c>
      <c r="W450" s="4" t="str">
        <f>MID(C450,11,3)</f>
        <v>.49</v>
      </c>
      <c r="Z450" s="2"/>
      <c r="AA450" s="2" t="str">
        <f>MID(H450,7,3)</f>
        <v/>
      </c>
    </row>
    <row r="451" spans="2:27" x14ac:dyDescent="0.25">
      <c r="B451" s="215"/>
      <c r="C451" s="216">
        <f>+C450-'[1]ES F '!B59</f>
        <v>0</v>
      </c>
      <c r="D451" s="216">
        <f>+D450-'[1]ES F '!C59</f>
        <v>0</v>
      </c>
      <c r="E451" s="217"/>
      <c r="R451" s="4" t="str">
        <f>+CONCATENATE(S451,",",T451,",",U451,",",V451,W451)</f>
        <v>1,044,940,074.58</v>
      </c>
      <c r="S451" s="4" t="str">
        <f>MID(D450,1,1)</f>
        <v>1</v>
      </c>
      <c r="T451" s="4" t="str">
        <f>MID(D450,2,3)</f>
        <v>044</v>
      </c>
      <c r="U451" s="4" t="str">
        <f>MID(D450,5,3)</f>
        <v>940</v>
      </c>
      <c r="V451" s="4" t="str">
        <f>MID(D450,8,3)</f>
        <v>074</v>
      </c>
      <c r="W451" s="4" t="str">
        <f>MID(D450,11,3)</f>
        <v>.58</v>
      </c>
      <c r="X451" s="4" t="str">
        <f>MID(I450,1,3)</f>
        <v/>
      </c>
      <c r="AA451" s="2" t="str">
        <f>MID(L450,1,3)</f>
        <v/>
      </c>
    </row>
    <row r="452" spans="2:27" s="45" customFormat="1" x14ac:dyDescent="0.25">
      <c r="B452" s="55" t="str">
        <f>("Cambio porcentual con relación al "&amp;$D$115&amp;".")</f>
        <v>Cambio porcentual con relación al 2023.</v>
      </c>
      <c r="C452" s="56"/>
      <c r="D452" s="57" t="str">
        <f>IF(E452&gt;=0,"Aumento","Disminución")</f>
        <v>Aumento</v>
      </c>
      <c r="E452" s="90">
        <f>+E450/D450</f>
        <v>9.0707852264252903E-2</v>
      </c>
      <c r="J452" s="49"/>
      <c r="N452" s="49"/>
      <c r="R452" s="50"/>
      <c r="S452" s="50"/>
      <c r="T452" s="50"/>
      <c r="U452" s="50"/>
      <c r="V452" s="50"/>
      <c r="W452" s="50"/>
      <c r="X452" s="50"/>
      <c r="Y452" s="50"/>
    </row>
    <row r="453" spans="2:27" ht="21" customHeight="1" x14ac:dyDescent="0.25">
      <c r="B453" s="218" t="s">
        <v>251</v>
      </c>
      <c r="C453" s="218"/>
      <c r="D453" s="218"/>
      <c r="E453" s="218"/>
    </row>
    <row r="454" spans="2:27" ht="13.5" customHeight="1" x14ac:dyDescent="0.25">
      <c r="B454" s="219"/>
      <c r="C454" s="219"/>
      <c r="D454" s="219"/>
      <c r="E454" s="219"/>
    </row>
    <row r="455" spans="2:27" ht="31.5" customHeight="1" x14ac:dyDescent="0.25">
      <c r="B455" s="219"/>
      <c r="C455" s="219"/>
      <c r="D455" s="219"/>
      <c r="E455" s="219"/>
    </row>
    <row r="456" spans="2:27" ht="12" customHeight="1" x14ac:dyDescent="0.25">
      <c r="B456" s="219"/>
      <c r="C456" s="219"/>
      <c r="D456" s="219"/>
      <c r="E456" s="219"/>
    </row>
    <row r="457" spans="2:27" ht="12" customHeight="1" x14ac:dyDescent="0.25">
      <c r="B457" s="219"/>
      <c r="C457" s="219"/>
      <c r="D457" s="219"/>
      <c r="E457" s="219"/>
    </row>
    <row r="458" spans="2:27" ht="12" customHeight="1" x14ac:dyDescent="0.25">
      <c r="B458" s="91"/>
    </row>
    <row r="459" spans="2:27" ht="13.5" customHeight="1" x14ac:dyDescent="0.25">
      <c r="B459" s="65" t="s">
        <v>252</v>
      </c>
    </row>
    <row r="460" spans="2:27" x14ac:dyDescent="0.25">
      <c r="B460" s="65" t="s">
        <v>253</v>
      </c>
    </row>
    <row r="461" spans="2:27" ht="39.75" customHeight="1" x14ac:dyDescent="0.25">
      <c r="B461" s="14" t="str">
        <f>("Un detalle del "&amp;B460&amp;" al "&amp;[1]BALANZA!$B$3&amp;" "&amp;[1]BALANZA!$C$3&amp;" es como se detalla a continuación:")</f>
        <v>Un detalle del Ingresos por transacciones con contraprestaciones al 30 de Noviembre del 2024 - 2023 es como se detalla a continuación:</v>
      </c>
      <c r="C461" s="32"/>
      <c r="D461" s="32"/>
      <c r="E461" s="32"/>
    </row>
    <row r="462" spans="2:27" ht="42.75" customHeight="1" x14ac:dyDescent="0.25">
      <c r="B462" s="209" t="str">
        <f>("Los ingresos recibidos por cobros de  servicios de aguas potable y saneamiento (APS) para en el  "&amp;C465&amp;" es RD$ "&amp;R468&amp;" y del "&amp;D465&amp;" es RD$ "&amp;R469&amp;" :")</f>
        <v>Los ingresos recibidos por cobros de  servicios de aguas potable y saneamiento (APS) para en el  2024 es RD$ 164,909,316.60 y del 2023 es RD$ 180,816,067.20 :</v>
      </c>
      <c r="C462" s="209"/>
      <c r="D462" s="209"/>
      <c r="E462" s="209"/>
    </row>
    <row r="463" spans="2:27" x14ac:dyDescent="0.25">
      <c r="B463" s="220"/>
    </row>
    <row r="464" spans="2:27" x14ac:dyDescent="0.25">
      <c r="B464" s="193"/>
      <c r="C464" s="221" t="s">
        <v>254</v>
      </c>
      <c r="D464" s="221"/>
      <c r="E464" s="222"/>
    </row>
    <row r="465" spans="2:26" x14ac:dyDescent="0.25">
      <c r="B465" s="193" t="s">
        <v>217</v>
      </c>
      <c r="C465" s="223">
        <f>+C137</f>
        <v>2024</v>
      </c>
      <c r="D465" s="223">
        <f>+D137</f>
        <v>2023</v>
      </c>
      <c r="E465" s="194" t="s">
        <v>218</v>
      </c>
    </row>
    <row r="466" spans="2:26" x14ac:dyDescent="0.25">
      <c r="B466" s="159" t="s">
        <v>255</v>
      </c>
      <c r="C466" s="224">
        <f>+'[1]BALANZA G'!C128-C467</f>
        <v>164897700.23999998</v>
      </c>
      <c r="D466" s="145">
        <f>+'[1]BALANZA G'!D128-D467</f>
        <v>180792834.47999999</v>
      </c>
      <c r="E466" s="83">
        <f>+C466-D466</f>
        <v>-15895134.24000001</v>
      </c>
      <c r="H466" s="93"/>
    </row>
    <row r="467" spans="2:26" x14ac:dyDescent="0.25">
      <c r="B467" s="159" t="s">
        <v>256</v>
      </c>
      <c r="C467" s="224">
        <f>1936.06*6</f>
        <v>11616.36</v>
      </c>
      <c r="D467" s="224">
        <f>1936.06*12</f>
        <v>23232.720000000001</v>
      </c>
      <c r="E467" s="83">
        <f>+C467-D467</f>
        <v>-11616.36</v>
      </c>
      <c r="H467" s="93"/>
    </row>
    <row r="468" spans="2:26" ht="28.5" x14ac:dyDescent="0.25">
      <c r="B468" s="225" t="s">
        <v>257</v>
      </c>
      <c r="C468" s="226">
        <f>SUM(C466:C467)</f>
        <v>164909316.59999999</v>
      </c>
      <c r="D468" s="227">
        <f>SUM(D466:D467)</f>
        <v>180816067.19999999</v>
      </c>
      <c r="E468" s="226">
        <f>SUM(E466:E466)</f>
        <v>-15895134.24000001</v>
      </c>
      <c r="H468" s="93"/>
      <c r="R468" s="4" t="str">
        <f>+CONCATENATE(S468,",",T468,",",U468,V468,"0")</f>
        <v>164,909,316.60</v>
      </c>
      <c r="S468" s="4" t="str">
        <f>MID(C468,1,3)</f>
        <v>164</v>
      </c>
      <c r="T468" s="4" t="str">
        <f>MID(C468,4,3)</f>
        <v>909</v>
      </c>
      <c r="U468" s="4" t="str">
        <f>MID(C468,7,3)</f>
        <v>316</v>
      </c>
      <c r="V468" s="4" t="str">
        <f>MID(C468,10,3)</f>
        <v>.6</v>
      </c>
    </row>
    <row r="469" spans="2:26" x14ac:dyDescent="0.25">
      <c r="B469" s="228"/>
      <c r="C469" s="229">
        <f>+C468-[1]ERF!B11-[1]ERF!B13</f>
        <v>0</v>
      </c>
      <c r="D469" s="230"/>
      <c r="E469" s="231"/>
      <c r="H469" s="93"/>
      <c r="R469" s="4" t="str">
        <f>+CONCATENATE(S469,",",T469,",",U469,V469,AB469,"0")</f>
        <v>180,816,067.20</v>
      </c>
      <c r="S469" s="4" t="str">
        <f>MID(D468,1,3)</f>
        <v>180</v>
      </c>
      <c r="T469" s="4" t="str">
        <f>MID(D468,4,3)</f>
        <v>816</v>
      </c>
      <c r="U469" s="4" t="str">
        <f>MID(D468,7,3)</f>
        <v>067</v>
      </c>
      <c r="V469" s="4" t="str">
        <f>MID(D468,10,3)</f>
        <v>.2</v>
      </c>
    </row>
    <row r="470" spans="2:26" s="45" customFormat="1" x14ac:dyDescent="0.25">
      <c r="B470" s="55" t="str">
        <f>("Cambio porcentual con relación al "&amp;$D$115&amp;".")</f>
        <v>Cambio porcentual con relación al 2023.</v>
      </c>
      <c r="C470" s="56"/>
      <c r="D470" s="57" t="str">
        <f>IF(E470&gt;=0,"Aumento","Disminución")</f>
        <v>Disminución</v>
      </c>
      <c r="E470" s="90">
        <f>+E468/D468</f>
        <v>-8.7907753365846969E-2</v>
      </c>
      <c r="J470" s="49"/>
      <c r="N470" s="49"/>
      <c r="R470" s="50"/>
      <c r="S470" s="50"/>
      <c r="T470" s="50"/>
      <c r="U470" s="50"/>
      <c r="V470" s="50"/>
      <c r="W470" s="50"/>
      <c r="X470" s="50"/>
      <c r="Y470" s="50"/>
      <c r="Z470" s="49"/>
    </row>
    <row r="471" spans="2:26" x14ac:dyDescent="0.25">
      <c r="B471" s="91"/>
    </row>
    <row r="473" spans="2:26" x14ac:dyDescent="0.25">
      <c r="B473" s="65" t="s">
        <v>258</v>
      </c>
    </row>
    <row r="474" spans="2:26" x14ac:dyDescent="0.25">
      <c r="B474" s="65" t="s">
        <v>259</v>
      </c>
    </row>
    <row r="475" spans="2:26" ht="32.25" customHeight="1" x14ac:dyDescent="0.25">
      <c r="B475" s="14" t="str">
        <f>("Un detalle de las "&amp;B474&amp;" al "&amp;[1]BALANZA!$B$3&amp;" "&amp;[1]BALANZA!$C$3&amp;" es como se detalla a continuación:")</f>
        <v>Un detalle de las Transferencias y donaciones  al 30 de Noviembre del 2024 - 2023 es como se detalla a continuación:</v>
      </c>
      <c r="C475" s="32"/>
      <c r="D475" s="32"/>
      <c r="E475" s="32"/>
    </row>
    <row r="476" spans="2:26" ht="61.5" customHeight="1" x14ac:dyDescent="0.25">
      <c r="B476" s="209" t="str">
        <f>("Los recursos recibidos por transferencias fueron por los montos según el siguiente detalle:  para el "&amp;C479&amp;" transferencia de para Gasto  Corrientes RD$ "&amp;R480&amp;", para Gasto de  Capital RD$ "&amp;R481&amp;" y para Energia no cortable RD$ "&amp;R482&amp;" y para el "&amp;D479&amp;" Transferencia para Gasto  Corrientes RD$ "&amp;R485&amp;", para Gasto  de Capital RD$ "&amp;R486&amp;" y para Energia no cortable RD$ "&amp;R487&amp;" ")</f>
        <v xml:space="preserve">Los recursos recibidos por transferencias fueron por los montos según el siguiente detalle:  para el 2024 transferencia de para Gasto  Corrientes RD$ 47,918,009.00, para Gasto de  Capital RD$ 118,200,000.00 y para Energia no cortable RD$ 50,915,179.37 y para el 2023 Transferencia para Gasto  Corrientes RD$ 25,240,027.45, para Gasto  de Capital RD$ 12,714,356.04 y para Energia no cortable RD$ 51,161,468.00 </v>
      </c>
      <c r="C476" s="209"/>
      <c r="D476" s="209"/>
      <c r="E476" s="209"/>
    </row>
    <row r="477" spans="2:26" x14ac:dyDescent="0.25">
      <c r="B477" s="13"/>
    </row>
    <row r="478" spans="2:26" x14ac:dyDescent="0.25">
      <c r="B478" s="177" t="str">
        <f>+B465</f>
        <v>Cuenta</v>
      </c>
      <c r="C478" s="221" t="s">
        <v>254</v>
      </c>
      <c r="D478" s="221"/>
      <c r="E478" s="222"/>
    </row>
    <row r="479" spans="2:26" x14ac:dyDescent="0.25">
      <c r="B479" s="177" t="s">
        <v>260</v>
      </c>
      <c r="C479" s="223">
        <f>+[1]BALANZA!B4</f>
        <v>2024</v>
      </c>
      <c r="D479" s="223">
        <f>+[1]BALANZA!C4</f>
        <v>2023</v>
      </c>
      <c r="E479" s="194" t="s">
        <v>218</v>
      </c>
    </row>
    <row r="480" spans="2:26" ht="15.75" customHeight="1" x14ac:dyDescent="0.25">
      <c r="B480" s="159" t="s">
        <v>261</v>
      </c>
      <c r="C480" s="145">
        <f>+'[1]BALANZA G'!C140+'[1]BALANZA G'!C144</f>
        <v>47918009</v>
      </c>
      <c r="D480" s="145">
        <f>+[1]RESULTADO!E10-D481-D482</f>
        <v>25240027.450000018</v>
      </c>
      <c r="E480" s="83">
        <f>+C480-D480</f>
        <v>22677981.549999982</v>
      </c>
      <c r="R480" s="4" t="str">
        <f>+CONCATENATE(S480,",",T480,",",U480,V480,".00")</f>
        <v>47,918,009.00</v>
      </c>
      <c r="S480" s="4" t="str">
        <f>MID(C480,1,2)</f>
        <v>47</v>
      </c>
      <c r="T480" s="4" t="str">
        <f>MID(C480,3,3)</f>
        <v>918</v>
      </c>
      <c r="U480" s="4" t="str">
        <f>MID(C480,6,3)</f>
        <v>009</v>
      </c>
      <c r="V480" s="4" t="str">
        <f>MID(C480,9,3)</f>
        <v/>
      </c>
    </row>
    <row r="481" spans="2:26" ht="15.75" customHeight="1" x14ac:dyDescent="0.25">
      <c r="B481" s="159" t="s">
        <v>262</v>
      </c>
      <c r="C481" s="232">
        <f>+'[1]BALANZA G'!C145</f>
        <v>118200000</v>
      </c>
      <c r="D481" s="232">
        <v>12714356.039999999</v>
      </c>
      <c r="E481" s="83">
        <f>+C481-D481</f>
        <v>105485643.96000001</v>
      </c>
      <c r="R481" s="4" t="str">
        <f>+CONCATENATE(S481,",",T481,",",U481,V481,".00")</f>
        <v>118,200,000.00</v>
      </c>
      <c r="S481" s="4" t="str">
        <f>MID(C481,1,3)</f>
        <v>118</v>
      </c>
      <c r="T481" s="4" t="str">
        <f>MID(C481,4,3)</f>
        <v>200</v>
      </c>
      <c r="U481" s="4" t="str">
        <f>MID(C481,7,3)</f>
        <v>000</v>
      </c>
      <c r="V481" s="4" t="str">
        <f>MID(C481,10,3)</f>
        <v/>
      </c>
    </row>
    <row r="482" spans="2:26" ht="28.5" customHeight="1" x14ac:dyDescent="0.25">
      <c r="B482" s="233" t="s">
        <v>263</v>
      </c>
      <c r="C482" s="232">
        <f>+'[1]BALANZA G'!C146</f>
        <v>50915179.369999997</v>
      </c>
      <c r="D482" s="232">
        <v>51161468</v>
      </c>
      <c r="E482" s="234">
        <f>+C482-D482</f>
        <v>-246288.63000000268</v>
      </c>
      <c r="N482" s="3">
        <f>3106590.67*5</f>
        <v>15532953.35</v>
      </c>
      <c r="R482" s="4" t="str">
        <f>+CONCATENATE(S482,",",T482,",",U482,V482,"")</f>
        <v>50,915,179.37</v>
      </c>
      <c r="S482" s="4" t="str">
        <f>MID(C482,1,2)</f>
        <v>50</v>
      </c>
      <c r="T482" s="4" t="str">
        <f>MID(C482,3,3)</f>
        <v>915</v>
      </c>
      <c r="U482" s="4" t="str">
        <f>MID(C482,6,3)</f>
        <v>179</v>
      </c>
      <c r="V482" s="4" t="str">
        <f>MID(C482,9,3)</f>
        <v>.37</v>
      </c>
    </row>
    <row r="483" spans="2:26" x14ac:dyDescent="0.25">
      <c r="B483" s="177" t="s">
        <v>264</v>
      </c>
      <c r="C483" s="226">
        <f>SUM(C480:C482)</f>
        <v>217033188.37</v>
      </c>
      <c r="D483" s="227">
        <f>SUM(D480:D482)</f>
        <v>89115851.49000001</v>
      </c>
      <c r="E483" s="226">
        <f>SUM(E480:E482)</f>
        <v>127917336.88</v>
      </c>
      <c r="H483" s="93"/>
      <c r="N483" s="3">
        <v>2556519</v>
      </c>
      <c r="R483" s="4" t="str">
        <f>+CONCATENATE(S483,",",T483,",",U483,V483,AB483)</f>
        <v>21,703,3188.3</v>
      </c>
      <c r="S483" s="4" t="str">
        <f>MID(C483,1,2)</f>
        <v>21</v>
      </c>
      <c r="T483" s="4" t="str">
        <f>MID(C483,3,3)</f>
        <v>703</v>
      </c>
      <c r="U483" s="4" t="str">
        <f>MID(C483,6,3)</f>
        <v>318</v>
      </c>
      <c r="V483" s="4" t="str">
        <f>MID(C483,9,3)</f>
        <v>8.3</v>
      </c>
    </row>
    <row r="484" spans="2:26" x14ac:dyDescent="0.25">
      <c r="B484" s="228"/>
      <c r="C484" s="229">
        <f>+C483-[1]ERF!B12</f>
        <v>0</v>
      </c>
      <c r="D484" s="230"/>
      <c r="E484" s="231"/>
      <c r="H484" s="93"/>
      <c r="N484" s="3">
        <f>+N482+N483</f>
        <v>18089472.350000001</v>
      </c>
      <c r="R484" s="4" t="str">
        <f>+CONCATENATE(S484,",",T484,",",U484,V484,AB484)</f>
        <v>891,158,51.49</v>
      </c>
      <c r="S484" s="4" t="str">
        <f>MID(D483,1,3)</f>
        <v>891</v>
      </c>
      <c r="T484" s="4" t="str">
        <f>MID(D483,4,3)</f>
        <v>158</v>
      </c>
      <c r="U484" s="4" t="str">
        <f>MID(D483,7,3)</f>
        <v>51.</v>
      </c>
      <c r="V484" s="4" t="str">
        <f>MID(D483,10,3)</f>
        <v>49</v>
      </c>
    </row>
    <row r="485" spans="2:26" s="45" customFormat="1" x14ac:dyDescent="0.25">
      <c r="B485" s="55" t="str">
        <f>("Cambio porcentual con relación al "&amp;$D$115&amp;".")</f>
        <v>Cambio porcentual con relación al 2023.</v>
      </c>
      <c r="C485" s="56"/>
      <c r="D485" s="57" t="str">
        <f>IF(E485&gt;=0,"Aumento","Disminución")</f>
        <v>Aumento</v>
      </c>
      <c r="E485" s="90">
        <f>+E483/D483</f>
        <v>1.4354049783652016</v>
      </c>
      <c r="J485" s="49"/>
      <c r="N485" s="49"/>
      <c r="R485" s="4" t="str">
        <f>+CONCATENATE(S485,",",T485,",",U485,V485,AB485)</f>
        <v>25,240,027.45</v>
      </c>
      <c r="S485" s="4" t="str">
        <f>MID(D480,1,2)</f>
        <v>25</v>
      </c>
      <c r="T485" s="4" t="str">
        <f>MID(D480,3,3)</f>
        <v>240</v>
      </c>
      <c r="U485" s="4" t="str">
        <f>MID(D480,6,3)</f>
        <v>027</v>
      </c>
      <c r="V485" s="4" t="str">
        <f>MID(D480,9,3)</f>
        <v>.45</v>
      </c>
      <c r="W485" s="50"/>
      <c r="X485" s="50"/>
      <c r="Y485" s="50"/>
      <c r="Z485" s="49"/>
    </row>
    <row r="486" spans="2:26" x14ac:dyDescent="0.25">
      <c r="B486" s="13"/>
      <c r="H486" s="93"/>
      <c r="R486" s="4" t="str">
        <f>+CONCATENATE(S486,",",T486,",",U486,V486,AB486)</f>
        <v>12,714,356.04</v>
      </c>
      <c r="S486" s="4" t="str">
        <f>MID(D481,1,2)</f>
        <v>12</v>
      </c>
      <c r="T486" s="4" t="str">
        <f>MID(D481,3,3)</f>
        <v>714</v>
      </c>
      <c r="U486" s="4" t="str">
        <f>MID(D481,6,3)</f>
        <v>356</v>
      </c>
      <c r="V486" s="4" t="str">
        <f>MID(D481,9,3)</f>
        <v>.04</v>
      </c>
    </row>
    <row r="487" spans="2:26" ht="28.5" customHeight="1" x14ac:dyDescent="0.25">
      <c r="B487" s="14" t="str">
        <f>("Nota: CORAAMOCA tiene un presupuesto aprobado para el "&amp;C479&amp;" por un valor de RD$ "&amp;R492&amp;" ")</f>
        <v xml:space="preserve">Nota: CORAAMOCA tiene un presupuesto aprobado para el 2024 por un valor de RD$ 428,213,181.00 </v>
      </c>
      <c r="C487" s="14"/>
      <c r="D487" s="14"/>
      <c r="E487" s="14"/>
      <c r="R487" s="4" t="str">
        <f>+CONCATENATE(S487,",",T487,",",U487,V487,AB487,".00")</f>
        <v>51,161,468.00</v>
      </c>
      <c r="S487" s="4" t="str">
        <f>MID(D482,1,2)</f>
        <v>51</v>
      </c>
      <c r="T487" s="4" t="str">
        <f>MID(D482,3,3)</f>
        <v>161</v>
      </c>
      <c r="U487" s="4" t="str">
        <f>MID(D482,6,3)</f>
        <v>468</v>
      </c>
      <c r="V487" s="4" t="str">
        <f>MID(D482,9,3)</f>
        <v/>
      </c>
    </row>
    <row r="488" spans="2:26" ht="53.25" customHeight="1" x14ac:dyDescent="0.25">
      <c r="B488" s="14" t="str">
        <f>("El cual  recibirá mediante asignación de fondos del Gobierno Central,  para gastos corriente RD$ "&amp;R488&amp;" , para Gasto de capital RD$ "&amp;R490&amp;" y para  Energia Electrica de  RD$ "&amp;R489&amp;" y la Institución ingresará por ventas de servicios agua y saneamiento  un monto de RD$ "&amp;R491&amp;".")</f>
        <v>El cual  recibirá mediante asignación de fondos del Gobierno Central,  para gastos corriente RD$ 21,195,285.00 , para Gasto de capital RD$ 118,200,000.00 y para  Energia Electrica de  RD$ 55,543,832.00 y la Institución ingresará por ventas de servicios agua y saneamiento  un monto de RD$ 233,274,064.00.</v>
      </c>
      <c r="C488" s="14"/>
      <c r="D488" s="14"/>
      <c r="E488" s="14"/>
      <c r="R488" s="4" t="str">
        <f>+CONCATENATE(T488,",",U488,",",V488,W488,".00")</f>
        <v>21,195,285.00</v>
      </c>
      <c r="S488" s="235">
        <f>+'[1]Pres A'!E289</f>
        <v>21195285</v>
      </c>
      <c r="T488" s="4" t="str">
        <f>MID(S488,1,2)</f>
        <v>21</v>
      </c>
      <c r="U488" s="4" t="str">
        <f>MID(S488,3,3)</f>
        <v>195</v>
      </c>
      <c r="V488" s="4" t="str">
        <f>MID(S488,6,3)</f>
        <v>285</v>
      </c>
    </row>
    <row r="489" spans="2:26" ht="15.75" customHeight="1" x14ac:dyDescent="0.25">
      <c r="B489" s="21"/>
      <c r="C489" s="21"/>
      <c r="D489" s="21"/>
      <c r="E489" s="21"/>
      <c r="R489" s="4" t="str">
        <f>+CONCATENATE(T489,",",U489,",",V489,W489,".00")</f>
        <v>55,543,832.00</v>
      </c>
      <c r="S489" s="235">
        <f>+'[1]Pres A'!E290</f>
        <v>55543832</v>
      </c>
      <c r="T489" s="4" t="str">
        <f>MID(S489,1,2)</f>
        <v>55</v>
      </c>
      <c r="U489" s="4" t="str">
        <f>MID(S489,3,3)</f>
        <v>543</v>
      </c>
      <c r="V489" s="4" t="str">
        <f>MID(S489,6,3)</f>
        <v>832</v>
      </c>
      <c r="W489" s="4" t="str">
        <f>MID(S489,9,3)</f>
        <v/>
      </c>
    </row>
    <row r="490" spans="2:26" ht="15.75" customHeight="1" x14ac:dyDescent="0.25">
      <c r="B490" s="21"/>
      <c r="C490" s="21"/>
      <c r="D490" s="21"/>
      <c r="E490" s="21"/>
      <c r="R490" s="4" t="str">
        <f>+CONCATENATE(T490,",",U490,",",V490,W490,".00")</f>
        <v>118,200,000.00</v>
      </c>
      <c r="S490" s="235">
        <f>+'[1]Pres A'!E291</f>
        <v>118200000</v>
      </c>
      <c r="T490" s="4" t="str">
        <f>MID(S490,1,3)</f>
        <v>118</v>
      </c>
      <c r="U490" s="4" t="str">
        <f>MID(S490,4,3)</f>
        <v>200</v>
      </c>
      <c r="V490" s="4" t="str">
        <f>MID(S490,7,3)</f>
        <v>000</v>
      </c>
      <c r="W490" s="4" t="str">
        <f>MID(S490,10,3)</f>
        <v/>
      </c>
    </row>
    <row r="491" spans="2:26" ht="15.75" customHeight="1" x14ac:dyDescent="0.25">
      <c r="B491" s="21"/>
      <c r="C491" s="21"/>
      <c r="D491" s="21"/>
      <c r="E491" s="21"/>
      <c r="R491" s="4" t="str">
        <f>+CONCATENATE(T491,",",U491,",",V491,W491,".00")</f>
        <v>233,274,064.00</v>
      </c>
      <c r="S491" s="235">
        <f>+'[1]Pres A'!E295</f>
        <v>233274064.41999999</v>
      </c>
      <c r="T491" s="4" t="str">
        <f>MID(S491,1,3)</f>
        <v>233</v>
      </c>
      <c r="U491" s="4" t="str">
        <f>MID(S491,4,3)</f>
        <v>274</v>
      </c>
      <c r="V491" s="4" t="str">
        <f>MID(S491,7,3)</f>
        <v>064</v>
      </c>
    </row>
    <row r="492" spans="2:26" ht="15.75" customHeight="1" x14ac:dyDescent="0.25">
      <c r="B492" s="21"/>
      <c r="C492" s="21"/>
      <c r="D492" s="21"/>
      <c r="E492" s="21"/>
      <c r="R492" s="4" t="str">
        <f>+CONCATENATE(T492,",",U492,",",V492,W492,".00")</f>
        <v>428,213,181.00</v>
      </c>
      <c r="S492" s="236">
        <f>SUM(S488:S491)</f>
        <v>428213181.41999996</v>
      </c>
      <c r="T492" s="4" t="str">
        <f>MID(S492,1,3)</f>
        <v>428</v>
      </c>
      <c r="U492" s="4" t="str">
        <f>MID(S492,4,3)</f>
        <v>213</v>
      </c>
      <c r="V492" s="4" t="str">
        <f>MID(S492,7,3)</f>
        <v>181</v>
      </c>
    </row>
    <row r="493" spans="2:26" ht="15.75" customHeight="1" x14ac:dyDescent="0.25">
      <c r="B493" s="21"/>
      <c r="C493" s="21"/>
      <c r="D493" s="21"/>
      <c r="E493" s="21"/>
    </row>
    <row r="494" spans="2:26" ht="15.75" customHeight="1" x14ac:dyDescent="0.25">
      <c r="B494" s="21"/>
      <c r="C494" s="21"/>
      <c r="D494" s="21"/>
      <c r="E494" s="21"/>
    </row>
    <row r="495" spans="2:26" ht="15.75" customHeight="1" x14ac:dyDescent="0.25">
      <c r="B495" s="21"/>
      <c r="C495" s="21"/>
      <c r="D495" s="21"/>
      <c r="E495" s="21"/>
    </row>
    <row r="496" spans="2:26" ht="15.75" customHeight="1" x14ac:dyDescent="0.25">
      <c r="B496" s="21"/>
      <c r="C496" s="21"/>
      <c r="D496" s="21"/>
      <c r="E496" s="21"/>
    </row>
    <row r="497" spans="2:11" ht="32.25" customHeight="1" x14ac:dyDescent="0.25">
      <c r="B497" s="177" t="s">
        <v>260</v>
      </c>
      <c r="C497" s="237" t="s">
        <v>265</v>
      </c>
      <c r="D497" s="237" t="s">
        <v>246</v>
      </c>
      <c r="E497" s="237" t="s">
        <v>266</v>
      </c>
    </row>
    <row r="498" spans="2:11" ht="15.75" customHeight="1" x14ac:dyDescent="0.25">
      <c r="B498" s="66" t="s">
        <v>267</v>
      </c>
      <c r="C498" s="238">
        <f>+'[1]19'!$D$25</f>
        <v>1598764</v>
      </c>
      <c r="D498" s="238">
        <f>+'[1]19'!$D$26</f>
        <v>0</v>
      </c>
      <c r="E498" s="238">
        <f>+'[1]19'!$D$27</f>
        <v>4628652.67</v>
      </c>
    </row>
    <row r="499" spans="2:11" ht="15.75" customHeight="1" x14ac:dyDescent="0.25">
      <c r="B499" s="66" t="s">
        <v>268</v>
      </c>
      <c r="C499" s="238">
        <f>+'[1]19'!$E$25</f>
        <v>1598764</v>
      </c>
      <c r="D499" s="238">
        <f>+'[1]19'!$E$26</f>
        <v>41370000</v>
      </c>
      <c r="E499" s="238">
        <f>+'[1]19'!$E$27</f>
        <v>4628652.67</v>
      </c>
    </row>
    <row r="500" spans="2:11" ht="15.75" customHeight="1" x14ac:dyDescent="0.25">
      <c r="B500" s="66" t="s">
        <v>269</v>
      </c>
      <c r="C500" s="238">
        <f>+'[1]19'!$F$25</f>
        <v>15225006</v>
      </c>
      <c r="D500" s="238">
        <f>+'[1]19'!$F$26</f>
        <v>0</v>
      </c>
      <c r="E500" s="238">
        <f>+'[1]19'!$F$27</f>
        <v>4628652.67</v>
      </c>
    </row>
    <row r="501" spans="2:11" ht="15.75" customHeight="1" x14ac:dyDescent="0.25">
      <c r="B501" s="66" t="s">
        <v>270</v>
      </c>
      <c r="C501" s="238">
        <f>+'[1]19'!$G$25</f>
        <v>3277275</v>
      </c>
      <c r="D501" s="238">
        <f>+'[1]19'!$G$26</f>
        <v>0</v>
      </c>
      <c r="E501" s="238">
        <f>+'[1]19'!$G$27</f>
        <v>4628652.67</v>
      </c>
    </row>
    <row r="502" spans="2:11" ht="15.75" customHeight="1" x14ac:dyDescent="0.25">
      <c r="B502" s="66" t="s">
        <v>271</v>
      </c>
      <c r="C502" s="238">
        <f>+'[1]19'!$H$25</f>
        <v>3277275</v>
      </c>
      <c r="D502" s="238">
        <f>+'[1]19'!$H$26</f>
        <v>0</v>
      </c>
      <c r="E502" s="238">
        <f>+'[1]19'!$H$27</f>
        <v>4628652.67</v>
      </c>
    </row>
    <row r="503" spans="2:11" ht="15.75" customHeight="1" x14ac:dyDescent="0.25">
      <c r="B503" s="66" t="s">
        <v>272</v>
      </c>
      <c r="C503" s="238">
        <f>+'[1]19'!$I$25</f>
        <v>3277275</v>
      </c>
      <c r="D503" s="238">
        <f>+'[1]19'!$I$26</f>
        <v>0</v>
      </c>
      <c r="E503" s="238">
        <f>+'[1]19'!$I$27</f>
        <v>4628652.67</v>
      </c>
    </row>
    <row r="504" spans="2:11" ht="15.75" customHeight="1" x14ac:dyDescent="0.25">
      <c r="B504" s="66" t="s">
        <v>273</v>
      </c>
      <c r="C504" s="238">
        <f>+'[1]19'!$J$25</f>
        <v>3277275</v>
      </c>
      <c r="D504" s="238">
        <f>+'[1]19'!$J$26</f>
        <v>0</v>
      </c>
      <c r="E504" s="238">
        <f>+'[1]19'!$J$27</f>
        <v>4628652.67</v>
      </c>
    </row>
    <row r="505" spans="2:11" ht="15.75" customHeight="1" x14ac:dyDescent="0.25">
      <c r="B505" s="66" t="s">
        <v>274</v>
      </c>
      <c r="C505" s="238">
        <f>+'[1]19'!$K$25</f>
        <v>3277275</v>
      </c>
      <c r="D505" s="238">
        <f>+'[1]19'!$K$26</f>
        <v>0</v>
      </c>
      <c r="E505" s="238">
        <f>+'[1]19'!$K$27</f>
        <v>4628652.67</v>
      </c>
    </row>
    <row r="506" spans="2:11" ht="15.75" customHeight="1" x14ac:dyDescent="0.25">
      <c r="B506" s="66" t="s">
        <v>275</v>
      </c>
      <c r="C506" s="238">
        <f>+'[1]19'!$L$25</f>
        <v>3277275</v>
      </c>
      <c r="D506" s="238">
        <f>+'[1]19'!$L$26</f>
        <v>59100000</v>
      </c>
      <c r="E506" s="238">
        <f>+'[1]19'!$L$27</f>
        <v>4628652.67</v>
      </c>
    </row>
    <row r="507" spans="2:11" ht="15.75" customHeight="1" x14ac:dyDescent="0.25">
      <c r="B507" s="66" t="s">
        <v>276</v>
      </c>
      <c r="C507" s="238">
        <f>+'[1]19'!$M$25</f>
        <v>3277275</v>
      </c>
      <c r="D507" s="238">
        <f>+'[1]19'!$M$26</f>
        <v>0</v>
      </c>
      <c r="E507" s="238">
        <f>+'[1]19'!$M$27</f>
        <v>4628652.67</v>
      </c>
    </row>
    <row r="508" spans="2:11" ht="15.75" customHeight="1" x14ac:dyDescent="0.25">
      <c r="B508" s="66" t="s">
        <v>277</v>
      </c>
      <c r="C508" s="238">
        <f>+'[1]19'!$N$25</f>
        <v>6554550</v>
      </c>
      <c r="D508" s="238">
        <f>+'[1]19'!$N$26</f>
        <v>17730000</v>
      </c>
      <c r="E508" s="238">
        <f>+'[1]19'!$N$27</f>
        <v>4628652.67</v>
      </c>
    </row>
    <row r="509" spans="2:11" ht="15.75" customHeight="1" x14ac:dyDescent="0.25">
      <c r="B509" s="66" t="s">
        <v>278</v>
      </c>
      <c r="C509" s="238">
        <f>+'[1]19'!$O$25</f>
        <v>0</v>
      </c>
      <c r="D509" s="238">
        <f>+'[1]19'!$O$26</f>
        <v>0</v>
      </c>
      <c r="E509" s="238">
        <f>+'[1]19'!$O$27</f>
        <v>0</v>
      </c>
    </row>
    <row r="510" spans="2:11" ht="15.75" customHeight="1" x14ac:dyDescent="0.25">
      <c r="B510" s="239" t="s">
        <v>212</v>
      </c>
      <c r="C510" s="240">
        <f>SUM(C498:C509)</f>
        <v>47918009</v>
      </c>
      <c r="D510" s="240">
        <f>SUM(D498:D509)</f>
        <v>118200000</v>
      </c>
      <c r="E510" s="240">
        <f>SUM(E498:E509)</f>
        <v>50915179.370000012</v>
      </c>
    </row>
    <row r="511" spans="2:11" ht="15.75" customHeight="1" x14ac:dyDescent="0.25">
      <c r="B511" s="21"/>
      <c r="C511" s="21"/>
      <c r="D511" s="21"/>
      <c r="E511" s="21"/>
    </row>
    <row r="512" spans="2:11" ht="23.25" customHeight="1" x14ac:dyDescent="0.25">
      <c r="B512" s="65" t="s">
        <v>279</v>
      </c>
      <c r="C512" s="241"/>
      <c r="J512" s="3">
        <v>192000000</v>
      </c>
      <c r="K512" s="241">
        <f>J512/12</f>
        <v>16000000</v>
      </c>
    </row>
    <row r="513" spans="2:21" x14ac:dyDescent="0.25">
      <c r="B513" s="65" t="s">
        <v>280</v>
      </c>
      <c r="J513" s="3">
        <v>21106726</v>
      </c>
      <c r="K513" s="241">
        <f>J513/12</f>
        <v>1758893.8333333333</v>
      </c>
    </row>
    <row r="514" spans="2:21" ht="36.75" customHeight="1" x14ac:dyDescent="0.25">
      <c r="B514" s="14" t="str">
        <f>("Un detalle de los "&amp;B513&amp;" al "&amp;[1]BALANZA!$B$3&amp;" "&amp;[1]BALANZA!$C$3&amp;" es como se detalla a continuación:")</f>
        <v>Un detalle de los Sueldos, Salarios y beneficios a empleados al 30 de Noviembre del 2024 - 2023 es como se detalla a continuación:</v>
      </c>
      <c r="C514" s="32"/>
      <c r="D514" s="32"/>
      <c r="E514" s="32"/>
      <c r="J514" s="3">
        <v>70000000</v>
      </c>
      <c r="K514" s="241">
        <f>J514/12</f>
        <v>5833333.333333333</v>
      </c>
      <c r="L514" s="3">
        <f>4666666*3</f>
        <v>13999998</v>
      </c>
    </row>
    <row r="515" spans="2:21" ht="16.5" customHeight="1" x14ac:dyDescent="0.25">
      <c r="B515" s="209"/>
      <c r="C515" s="20"/>
      <c r="D515" s="20"/>
      <c r="E515" s="20"/>
      <c r="J515" s="3">
        <v>37279088</v>
      </c>
      <c r="K515" s="241"/>
      <c r="L515" s="3">
        <f>1598764*5</f>
        <v>7993820</v>
      </c>
    </row>
    <row r="516" spans="2:21" x14ac:dyDescent="0.25">
      <c r="B516" s="177" t="str">
        <f>+B465</f>
        <v>Cuenta</v>
      </c>
      <c r="C516" s="178">
        <f>+[1]BALANZA!B4</f>
        <v>2024</v>
      </c>
      <c r="D516" s="178">
        <f>+[1]BALANZA!C4</f>
        <v>2023</v>
      </c>
      <c r="E516" s="194" t="s">
        <v>218</v>
      </c>
      <c r="K516" s="241">
        <f>J513+J514+J515</f>
        <v>128385814</v>
      </c>
      <c r="L516" s="3">
        <f>10296372.36+13618335.6</f>
        <v>23914707.960000001</v>
      </c>
    </row>
    <row r="517" spans="2:21" x14ac:dyDescent="0.25">
      <c r="B517" s="242" t="s">
        <v>281</v>
      </c>
      <c r="C517" s="243">
        <f>+'[1]BALANZA G'!C153</f>
        <v>134835034</v>
      </c>
      <c r="D517" s="243">
        <f>+'[1]BALANZA G'!D153</f>
        <v>149428043</v>
      </c>
      <c r="E517" s="44">
        <f t="shared" ref="E517:E522" si="3">+C517-D517</f>
        <v>-14593009</v>
      </c>
      <c r="J517" s="3">
        <f>+J515+J512+J514+J513</f>
        <v>320385814</v>
      </c>
      <c r="U517" s="212"/>
    </row>
    <row r="518" spans="2:21" x14ac:dyDescent="0.25">
      <c r="B518" s="242" t="s">
        <v>282</v>
      </c>
      <c r="C518" s="243">
        <f>+'[1]BALANZA G'!C155+'[1]BALANZA G'!C156+'[1]BALANZA G'!C157+'[1]BALANZA G'!C158+'[1]BALANZA G'!C154</f>
        <v>0</v>
      </c>
      <c r="D518" s="243">
        <f>+'[1]BALANZA G'!D155+'[1]BALANZA G'!D156+'[1]BALANZA G'!D157+'[1]BALANZA G'!D158+'[1]BALANZA G'!D154</f>
        <v>0</v>
      </c>
      <c r="E518" s="44">
        <f t="shared" si="3"/>
        <v>0</v>
      </c>
      <c r="L518" s="241">
        <f>L516+L515+L514</f>
        <v>45908525.960000001</v>
      </c>
      <c r="U518" s="212"/>
    </row>
    <row r="519" spans="2:21" ht="44.25" customHeight="1" x14ac:dyDescent="0.25">
      <c r="B519" s="242" t="s">
        <v>283</v>
      </c>
      <c r="C519" s="243">
        <f>+'[1]BALANZA G'!C161+'[1]BALANZA G'!C162+'[1]BALANZA G'!C159+'[1]BALANZA G'!C163+'[1]BALANZA G'!C165+'[1]BALANZA G'!C160</f>
        <v>7569720.8200000003</v>
      </c>
      <c r="D519" s="243">
        <f>+'[1]BALANZA G'!D159+'[1]BALANZA G'!D161+'[1]BALANZA G'!D162+'[1]BALANZA G'!D163+'[1]BALANZA G'!D165+'[1]BALANZA G'!D160</f>
        <v>8031951.580000001</v>
      </c>
      <c r="E519" s="44">
        <f t="shared" si="3"/>
        <v>-462230.76000000071</v>
      </c>
      <c r="U519" s="212"/>
    </row>
    <row r="520" spans="2:21" hidden="1" x14ac:dyDescent="0.25">
      <c r="B520" s="242" t="s">
        <v>284</v>
      </c>
      <c r="C520" s="243">
        <f>+'[1]BALANZA G'!C167</f>
        <v>0</v>
      </c>
      <c r="D520" s="243">
        <f>+'[1]BALANZA G'!D167</f>
        <v>0</v>
      </c>
      <c r="E520" s="44">
        <f t="shared" si="3"/>
        <v>0</v>
      </c>
      <c r="U520" s="212"/>
    </row>
    <row r="521" spans="2:21" x14ac:dyDescent="0.25">
      <c r="B521" s="242" t="s">
        <v>285</v>
      </c>
      <c r="C521" s="243">
        <f>+'[1]BALANZA G'!C168+'[1]BALANZA G'!C169+'[1]BALANZA G'!C170+'[1]BALANZA G'!C172</f>
        <v>2755000</v>
      </c>
      <c r="D521" s="243">
        <f>+'[1]BALANZA G'!D168+'[1]BALANZA G'!D169+'[1]BALANZA G'!D170+'[1]BALANZA G'!D172</f>
        <v>2580000</v>
      </c>
      <c r="E521" s="44">
        <f t="shared" si="3"/>
        <v>175000</v>
      </c>
      <c r="U521" s="212"/>
    </row>
    <row r="522" spans="2:21" x14ac:dyDescent="0.25">
      <c r="B522" s="242" t="s">
        <v>286</v>
      </c>
      <c r="C522" s="243">
        <f>+'[1]BALANZA G'!C173+'[1]BALANZA G'!C175+'[1]BALANZA G'!C172+'[1]BALANZA G'!C174+'[1]BALANZA G'!C171+'[1]BALANZA G'!C164</f>
        <v>0</v>
      </c>
      <c r="D522" s="243">
        <f>+'[1]BALANZA G'!D172+'[1]BALANZA G'!D173+'[1]BALANZA G'!D174+'[1]BALANZA G'!D175+'[1]BALANZA G'!D171+'[1]BALANZA G'!D164</f>
        <v>12374295.220000001</v>
      </c>
      <c r="E522" s="44">
        <f t="shared" si="3"/>
        <v>-12374295.220000001</v>
      </c>
      <c r="U522" s="212"/>
    </row>
    <row r="523" spans="2:21" x14ac:dyDescent="0.25">
      <c r="B523" s="242" t="s">
        <v>287</v>
      </c>
      <c r="C523" s="243">
        <f>+'[1]BALANZA G'!C292</f>
        <v>1193947.54</v>
      </c>
      <c r="D523" s="243">
        <f>+'[1]BALANZA G'!D292</f>
        <v>3816377.92</v>
      </c>
      <c r="E523" s="44">
        <f>+C523-D523</f>
        <v>-2622430.38</v>
      </c>
      <c r="U523" s="212"/>
    </row>
    <row r="524" spans="2:21" x14ac:dyDescent="0.25">
      <c r="B524" s="242" t="s">
        <v>288</v>
      </c>
      <c r="C524" s="243">
        <f>+'[1]BALANZA G'!C178</f>
        <v>9592120.5199999996</v>
      </c>
      <c r="D524" s="243">
        <f>+'[1]BALANZA G'!D178</f>
        <v>10582363.359999999</v>
      </c>
      <c r="E524" s="44">
        <f>+C524-D524</f>
        <v>-990242.83999999985</v>
      </c>
      <c r="U524" s="212"/>
    </row>
    <row r="525" spans="2:21" x14ac:dyDescent="0.25">
      <c r="B525" s="242" t="s">
        <v>289</v>
      </c>
      <c r="C525" s="243">
        <f>+'[1]BALANZA G'!C179</f>
        <v>8227878.4299999997</v>
      </c>
      <c r="D525" s="243">
        <f>+'[1]BALANZA G'!D179</f>
        <v>10614032.710000001</v>
      </c>
      <c r="E525" s="44">
        <f>+C525-D525</f>
        <v>-2386154.2800000012</v>
      </c>
      <c r="U525" s="212"/>
    </row>
    <row r="526" spans="2:21" x14ac:dyDescent="0.25">
      <c r="B526" s="242" t="s">
        <v>290</v>
      </c>
      <c r="C526" s="243">
        <f>+'[1]BALANZA G'!C180</f>
        <v>2985648.73</v>
      </c>
      <c r="D526" s="243">
        <f>+'[1]BALANZA G'!D180</f>
        <v>1774503.18</v>
      </c>
      <c r="E526" s="44">
        <f>+C526-D526</f>
        <v>1211145.55</v>
      </c>
      <c r="U526" s="212"/>
    </row>
    <row r="527" spans="2:21" ht="28.5" x14ac:dyDescent="0.25">
      <c r="B527" s="244" t="s">
        <v>291</v>
      </c>
      <c r="C527" s="121">
        <f>SUM(C517:C526)</f>
        <v>167159350.03999999</v>
      </c>
      <c r="D527" s="196">
        <f>SUM(D517:D526)</f>
        <v>199201566.97</v>
      </c>
      <c r="E527" s="245">
        <f>SUM(E517:E526)</f>
        <v>-32042216.930000003</v>
      </c>
    </row>
    <row r="528" spans="2:21" x14ac:dyDescent="0.25">
      <c r="B528" s="11"/>
      <c r="C528" s="246">
        <f>+C527-[1]ERF!B17</f>
        <v>0</v>
      </c>
      <c r="J528" s="49"/>
    </row>
    <row r="529" spans="2:26" s="45" customFormat="1" x14ac:dyDescent="0.25">
      <c r="B529" s="55" t="str">
        <f>("Cambio porcentual con relación al "&amp;$D$115&amp;".")</f>
        <v>Cambio porcentual con relación al 2023.</v>
      </c>
      <c r="C529" s="56"/>
      <c r="D529" s="247" t="str">
        <f>IF(E529&gt;=0,"Aumento","Disminución")</f>
        <v>Aumento</v>
      </c>
      <c r="E529" s="248">
        <f>+C527/D527</f>
        <v>0.83914676266163302</v>
      </c>
      <c r="J529" s="3"/>
      <c r="N529" s="49"/>
      <c r="R529" s="50"/>
      <c r="S529" s="50"/>
      <c r="T529" s="50"/>
      <c r="U529" s="50"/>
      <c r="V529" s="50"/>
      <c r="W529" s="50"/>
      <c r="X529" s="50"/>
      <c r="Y529" s="50"/>
      <c r="Z529" s="49"/>
    </row>
    <row r="530" spans="2:26" x14ac:dyDescent="0.25">
      <c r="B530" s="11"/>
    </row>
    <row r="531" spans="2:26" x14ac:dyDescent="0.25">
      <c r="B531" s="11"/>
    </row>
    <row r="532" spans="2:26" x14ac:dyDescent="0.25">
      <c r="B532" s="11"/>
    </row>
    <row r="533" spans="2:26" x14ac:dyDescent="0.25">
      <c r="B533" s="11"/>
    </row>
    <row r="534" spans="2:26" x14ac:dyDescent="0.25">
      <c r="B534" s="11"/>
    </row>
    <row r="535" spans="2:26" x14ac:dyDescent="0.25">
      <c r="B535" s="11"/>
    </row>
    <row r="536" spans="2:26" x14ac:dyDescent="0.25">
      <c r="B536" s="11"/>
    </row>
    <row r="537" spans="2:26" x14ac:dyDescent="0.25">
      <c r="B537" s="11"/>
    </row>
    <row r="538" spans="2:26" x14ac:dyDescent="0.25">
      <c r="B538" s="11"/>
    </row>
    <row r="539" spans="2:26" x14ac:dyDescent="0.25">
      <c r="B539" s="11"/>
    </row>
    <row r="540" spans="2:26" x14ac:dyDescent="0.25">
      <c r="B540" s="11"/>
    </row>
    <row r="541" spans="2:26" ht="9.75" customHeight="1" x14ac:dyDescent="0.25">
      <c r="B541" s="11"/>
    </row>
    <row r="542" spans="2:26" x14ac:dyDescent="0.25">
      <c r="B542" s="65" t="s">
        <v>292</v>
      </c>
    </row>
    <row r="543" spans="2:26" x14ac:dyDescent="0.25">
      <c r="B543" s="65" t="s">
        <v>293</v>
      </c>
    </row>
    <row r="544" spans="2:26" ht="38.25" customHeight="1" x14ac:dyDescent="0.25">
      <c r="B544" s="14" t="str">
        <f>("Un detalle de  "&amp;B543&amp;" al "&amp;[1]BALANZA!$B$3&amp;" "&amp;[1]BALANZA!$C$3&amp;" es como se detalla a continuación:")</f>
        <v>Un detalle de  Subvenciones y otros pagos por transferencias al 30 de Noviembre del 2024 - 2023 es como se detalla a continuación:</v>
      </c>
      <c r="C544" s="32"/>
      <c r="D544" s="32"/>
      <c r="E544" s="32"/>
    </row>
    <row r="545" spans="2:27" ht="9" customHeight="1" x14ac:dyDescent="0.25">
      <c r="B545" s="13"/>
    </row>
    <row r="546" spans="2:27" x14ac:dyDescent="0.25">
      <c r="B546" s="177" t="s">
        <v>294</v>
      </c>
      <c r="C546" s="178">
        <f>+C558</f>
        <v>2024</v>
      </c>
      <c r="D546" s="178">
        <f>+D558</f>
        <v>2023</v>
      </c>
      <c r="E546" s="206" t="s">
        <v>218</v>
      </c>
    </row>
    <row r="547" spans="2:27" ht="16.5" customHeight="1" x14ac:dyDescent="0.25">
      <c r="B547" s="249" t="s">
        <v>295</v>
      </c>
      <c r="C547" s="115">
        <f>+'[1]BALANZA G'!C293</f>
        <v>0</v>
      </c>
      <c r="D547" s="243">
        <f>+'[1]BALANZA G'!D293+'[1]BALANZA G'!D294</f>
        <v>391500</v>
      </c>
      <c r="E547" s="83">
        <f>+C547-D547</f>
        <v>-391500</v>
      </c>
    </row>
    <row r="548" spans="2:27" ht="23.25" hidden="1" customHeight="1" x14ac:dyDescent="0.25">
      <c r="B548" s="250"/>
      <c r="C548" s="251"/>
      <c r="D548" s="252"/>
      <c r="E548" s="253"/>
      <c r="I548" s="172"/>
      <c r="J548" s="173"/>
      <c r="K548" s="172"/>
    </row>
    <row r="549" spans="2:27" ht="28.5" x14ac:dyDescent="0.25">
      <c r="B549" s="244" t="s">
        <v>296</v>
      </c>
      <c r="C549" s="121">
        <f>SUM(C547+C548)</f>
        <v>0</v>
      </c>
      <c r="D549" s="196">
        <f>SUM(D547)</f>
        <v>391500</v>
      </c>
      <c r="E549" s="254">
        <f>+C549-D549</f>
        <v>-391500</v>
      </c>
    </row>
    <row r="550" spans="2:27" x14ac:dyDescent="0.25">
      <c r="B550" s="107"/>
      <c r="C550" s="246">
        <f>+C549-[1]ERF!B18</f>
        <v>0</v>
      </c>
      <c r="J550" s="49"/>
    </row>
    <row r="551" spans="2:27" s="45" customFormat="1" x14ac:dyDescent="0.25">
      <c r="B551" s="55" t="str">
        <f>("Cambio porcentual con relación al "&amp;$D$115&amp;".")</f>
        <v>Cambio porcentual con relación al 2023.</v>
      </c>
      <c r="C551" s="56"/>
      <c r="D551" s="57" t="str">
        <f>IF(E551&gt;=0,"Aumento","Disminución")</f>
        <v>Disminución</v>
      </c>
      <c r="E551" s="90">
        <f>+E549/D549</f>
        <v>-1</v>
      </c>
      <c r="J551" s="49"/>
      <c r="N551" s="49"/>
      <c r="R551" s="50"/>
      <c r="S551" s="50"/>
      <c r="T551" s="50"/>
      <c r="U551" s="50"/>
      <c r="V551" s="50"/>
      <c r="W551" s="50"/>
      <c r="X551" s="50"/>
      <c r="Y551" s="50"/>
      <c r="Z551" s="49"/>
    </row>
    <row r="552" spans="2:27" s="45" customFormat="1" ht="17.25" customHeight="1" x14ac:dyDescent="0.25">
      <c r="B552" s="62"/>
      <c r="C552" s="62"/>
      <c r="D552" s="60"/>
      <c r="E552" s="63"/>
      <c r="J552" s="49"/>
      <c r="N552" s="49"/>
      <c r="R552" s="50"/>
      <c r="S552" s="50"/>
      <c r="T552" s="50"/>
      <c r="U552" s="50"/>
      <c r="V552" s="50"/>
      <c r="W552" s="50"/>
      <c r="X552" s="50"/>
      <c r="Y552" s="50"/>
      <c r="Z552" s="49"/>
    </row>
    <row r="553" spans="2:27" s="45" customFormat="1" ht="36.75" customHeight="1" x14ac:dyDescent="0.25">
      <c r="B553" s="62"/>
      <c r="C553" s="62"/>
      <c r="D553" s="60"/>
      <c r="E553" s="63"/>
      <c r="J553" s="3"/>
      <c r="N553" s="49"/>
      <c r="R553" s="50"/>
      <c r="S553" s="50"/>
      <c r="T553" s="50"/>
      <c r="U553" s="50"/>
      <c r="V553" s="50"/>
      <c r="W553" s="50"/>
      <c r="X553" s="50"/>
      <c r="Y553" s="50"/>
      <c r="Z553" s="49"/>
    </row>
    <row r="554" spans="2:27" x14ac:dyDescent="0.25">
      <c r="B554" s="65" t="s">
        <v>297</v>
      </c>
    </row>
    <row r="555" spans="2:27" x14ac:dyDescent="0.25">
      <c r="B555" s="65" t="s">
        <v>298</v>
      </c>
    </row>
    <row r="556" spans="2:27" ht="36.75" customHeight="1" x14ac:dyDescent="0.25">
      <c r="B556" s="14" t="str">
        <f>("Un detalle del "&amp;B555&amp;" al "&amp;[1]BALANZA!$B$3&amp;" "&amp;[1]BALANZA!$C$3&amp;" es como se detalla a continuación:")</f>
        <v>Un detalle del Suministro y materiales para consumo al 30 de Noviembre del 2024 - 2023 es como se detalla a continuación:</v>
      </c>
      <c r="C556" s="32"/>
      <c r="D556" s="32"/>
      <c r="E556" s="32"/>
    </row>
    <row r="557" spans="2:27" ht="8.25" customHeight="1" x14ac:dyDescent="0.25">
      <c r="B557" s="13"/>
    </row>
    <row r="558" spans="2:27" x14ac:dyDescent="0.25">
      <c r="B558" s="177" t="s">
        <v>294</v>
      </c>
      <c r="C558" s="178">
        <f>+[1]BALANZA!B4</f>
        <v>2024</v>
      </c>
      <c r="D558" s="178">
        <f>+[1]BALANZA!C4</f>
        <v>2023</v>
      </c>
      <c r="E558" s="206" t="s">
        <v>218</v>
      </c>
    </row>
    <row r="559" spans="2:27" x14ac:dyDescent="0.25">
      <c r="B559" s="159" t="s">
        <v>299</v>
      </c>
      <c r="C559" s="255">
        <f>+'[1]BALANZA G'!C246+'[1]BALANZA G'!C248+'[1]BALANZA G'!C247+'[1]BALANZA G'!C283</f>
        <v>827082.09</v>
      </c>
      <c r="D559" s="255">
        <f>+'[1]BALANZA G'!D246+'[1]BALANZA G'!D248+'[1]BALANZA G'!D247+'[1]BALANZA G'!D283</f>
        <v>1642896.11</v>
      </c>
      <c r="E559" s="83">
        <f t="shared" ref="E559:E565" si="4">+C559-D559</f>
        <v>-815814.02000000014</v>
      </c>
      <c r="K559" s="241"/>
      <c r="T559" s="100"/>
      <c r="Z559" s="3">
        <v>1008264.5</v>
      </c>
      <c r="AA559" s="241">
        <f t="shared" ref="AA559:AA564" si="5">+D559-Z559</f>
        <v>634631.6100000001</v>
      </c>
    </row>
    <row r="560" spans="2:27" x14ac:dyDescent="0.25">
      <c r="B560" s="159" t="s">
        <v>300</v>
      </c>
      <c r="C560" s="255">
        <f>+'[1]BALANZA G'!C249+'[1]BALANZA G'!C250+'[1]BALANZA G'!C251</f>
        <v>0</v>
      </c>
      <c r="D560" s="38">
        <f>+'[1]BALANZA G'!D249+'[1]BALANZA G'!D250+'[1]BALANZA G'!D251</f>
        <v>707856.95</v>
      </c>
      <c r="E560" s="83">
        <f t="shared" si="4"/>
        <v>-707856.95</v>
      </c>
      <c r="K560" s="241"/>
      <c r="T560" s="100"/>
      <c r="Z560" s="3">
        <v>1300</v>
      </c>
      <c r="AA560" s="241">
        <f t="shared" si="5"/>
        <v>706556.95</v>
      </c>
    </row>
    <row r="561" spans="2:27" x14ac:dyDescent="0.25">
      <c r="B561" s="159" t="s">
        <v>301</v>
      </c>
      <c r="C561" s="255">
        <f>+'[1]BALANZA G'!C252+'[1]BALANZA G'!C253+'[1]BALANZA G'!C254</f>
        <v>476607.55</v>
      </c>
      <c r="D561" s="38">
        <f>+'[1]BALANZA G'!D252+'[1]BALANZA G'!D253+'[1]BALANZA G'!D254</f>
        <v>913909.64</v>
      </c>
      <c r="E561" s="83">
        <f t="shared" si="4"/>
        <v>-437302.09</v>
      </c>
      <c r="K561" s="241"/>
      <c r="T561" s="100"/>
      <c r="Z561" s="3">
        <v>330702</v>
      </c>
      <c r="AA561" s="241">
        <f t="shared" si="5"/>
        <v>583207.64</v>
      </c>
    </row>
    <row r="562" spans="2:27" x14ac:dyDescent="0.25">
      <c r="B562" s="159" t="s">
        <v>302</v>
      </c>
      <c r="C562" s="255">
        <f>+'[1]BALANZA G'!C256+'[1]BALANZA G'!C258+'[1]BALANZA G'!C262+'[1]BALANZA G'!C257</f>
        <v>8345245</v>
      </c>
      <c r="D562" s="38">
        <f>+'[1]BALANZA G'!D256+'[1]BALANZA G'!D258+'[1]BALANZA G'!D262+'[1]BALANZA G'!D257</f>
        <v>9131302</v>
      </c>
      <c r="E562" s="83">
        <f t="shared" si="4"/>
        <v>-786057</v>
      </c>
      <c r="K562" s="241"/>
      <c r="T562" s="100"/>
      <c r="Z562" s="3">
        <v>7580799</v>
      </c>
      <c r="AA562" s="241">
        <f t="shared" si="5"/>
        <v>1550503</v>
      </c>
    </row>
    <row r="563" spans="2:27" x14ac:dyDescent="0.25">
      <c r="B563" s="159" t="s">
        <v>303</v>
      </c>
      <c r="C563" s="255">
        <f>+'[1]BALANZA G'!C259+'[1]BALANZA G'!C263+'[1]BALANZA G'!C261+'[1]BALANZA G'!C260+'[1]BALANZA G'!C265</f>
        <v>4435677.3899999997</v>
      </c>
      <c r="D563" s="255">
        <f>+'[1]BALANZA G'!D259+'[1]BALANZA G'!D263+'[1]BALANZA G'!D261+'[1]BALANZA G'!D260+'[1]BALANZA G'!D265</f>
        <v>8487376.4399999995</v>
      </c>
      <c r="E563" s="83">
        <f t="shared" si="4"/>
        <v>-4051699.05</v>
      </c>
      <c r="K563" s="241"/>
      <c r="T563" s="100"/>
      <c r="Z563" s="3">
        <v>7786358.3699999992</v>
      </c>
      <c r="AA563" s="241">
        <f t="shared" si="5"/>
        <v>701018.0700000003</v>
      </c>
    </row>
    <row r="564" spans="2:27" x14ac:dyDescent="0.25">
      <c r="B564" s="159" t="s">
        <v>304</v>
      </c>
      <c r="C564" s="255">
        <f>+'[1]BALANZA G'!C266+'[1]BALANZA G'!C267+'[1]BALANZA G'!C268+'[1]BALANZA G'!C269+'[1]BALANZA G'!C270+'[1]BALANZA G'!C271+'[1]BALANZA G'!C288+'[1]BALANZA G'!C278+'[1]BALANZA G'!C279+'[1]BALANZA G'!C276+'[1]BALANZA G'!C277+'[1]BALANZA G'!C273+'[1]BALANZA G'!C274+'[1]BALANZA G'!C275+'[1]BALANZA G'!C280+'[1]BALANZA G'!C281+'[1]BALANZA G'!C282+'[1]BALANZA G'!C284+'[1]BALANZA G'!C286+'[1]BALANZA G'!C285+'[1]BALANZA G'!C272+'[1]BALANZA G'!C228</f>
        <v>11866188.969999999</v>
      </c>
      <c r="D564" s="255">
        <f>+'[1]BALANZA G'!D266+'[1]BALANZA G'!D267+'[1]BALANZA G'!D268+'[1]BALANZA G'!D269+'[1]BALANZA G'!D270+'[1]BALANZA G'!D271+'[1]BALANZA G'!D288+'[1]BALANZA G'!D278+'[1]BALANZA G'!D279+'[1]BALANZA G'!D276+'[1]BALANZA G'!D277+'[1]BALANZA G'!D273+'[1]BALANZA G'!D274+'[1]BALANZA G'!D275+'[1]BALANZA G'!D280+'[1]BALANZA G'!D281+'[1]BALANZA G'!D282+'[1]BALANZA G'!D284+'[1]BALANZA G'!D286+'[1]BALANZA G'!D285+'[1]BALANZA G'!D272+'[1]BALANZA G'!D228</f>
        <v>11297066.049999999</v>
      </c>
      <c r="E564" s="83">
        <f t="shared" si="4"/>
        <v>569122.91999999993</v>
      </c>
      <c r="K564" s="241"/>
      <c r="T564" s="100"/>
      <c r="Z564" s="3">
        <v>3423165.7</v>
      </c>
      <c r="AA564" s="241">
        <f t="shared" si="5"/>
        <v>7873900.3499999987</v>
      </c>
    </row>
    <row r="565" spans="2:27" x14ac:dyDescent="0.25">
      <c r="B565" s="159" t="s">
        <v>305</v>
      </c>
      <c r="C565" s="255">
        <f>+'[1]BALANZA G'!C289</f>
        <v>0</v>
      </c>
      <c r="D565" s="38">
        <f>+'[1]BALANZA G'!D289</f>
        <v>0</v>
      </c>
      <c r="E565" s="83">
        <f t="shared" si="4"/>
        <v>0</v>
      </c>
    </row>
    <row r="566" spans="2:27" x14ac:dyDescent="0.25">
      <c r="B566" s="244" t="s">
        <v>306</v>
      </c>
      <c r="C566" s="47">
        <f>SUM(C559:C565)</f>
        <v>25950801</v>
      </c>
      <c r="D566" s="96">
        <f>SUM(D559:D565)</f>
        <v>32180407.189999998</v>
      </c>
      <c r="E566" s="47">
        <f>SUM(E559:E565)</f>
        <v>-6229606.1900000004</v>
      </c>
    </row>
    <row r="567" spans="2:27" x14ac:dyDescent="0.25">
      <c r="B567" s="256"/>
      <c r="C567" s="97">
        <f>+C566-[1]ERF!B19</f>
        <v>0</v>
      </c>
      <c r="D567" s="88"/>
      <c r="E567" s="89"/>
      <c r="J567" s="49"/>
    </row>
    <row r="568" spans="2:27" s="45" customFormat="1" x14ac:dyDescent="0.25">
      <c r="B568" s="55" t="str">
        <f>("Cambio porcentual con relación al "&amp;$D$115&amp;".")</f>
        <v>Cambio porcentual con relación al 2023.</v>
      </c>
      <c r="C568" s="56"/>
      <c r="D568" s="57" t="str">
        <f>IF(E568&gt;=0,"Aumento","Disminución")</f>
        <v>Disminución</v>
      </c>
      <c r="E568" s="90">
        <f>+E566/D566</f>
        <v>-0.19358382114990264</v>
      </c>
      <c r="J568" s="3"/>
      <c r="N568" s="49"/>
      <c r="R568" s="50"/>
      <c r="S568" s="50"/>
      <c r="T568" s="50"/>
      <c r="U568" s="50"/>
      <c r="V568" s="50"/>
      <c r="W568" s="50"/>
      <c r="X568" s="50"/>
      <c r="Y568" s="50"/>
      <c r="Z568" s="49"/>
    </row>
    <row r="569" spans="2:27" x14ac:dyDescent="0.25">
      <c r="B569" s="62"/>
      <c r="C569" s="62"/>
      <c r="D569" s="257"/>
      <c r="E569" s="63"/>
    </row>
    <row r="570" spans="2:27" ht="44.25" customHeight="1" x14ac:dyDescent="0.25">
      <c r="B570" s="62"/>
      <c r="C570" s="62"/>
      <c r="D570" s="257"/>
      <c r="E570" s="63"/>
    </row>
    <row r="571" spans="2:27" x14ac:dyDescent="0.25">
      <c r="B571" s="65" t="s">
        <v>307</v>
      </c>
    </row>
    <row r="572" spans="2:27" x14ac:dyDescent="0.25">
      <c r="B572" s="65" t="s">
        <v>308</v>
      </c>
    </row>
    <row r="573" spans="2:27" x14ac:dyDescent="0.25">
      <c r="B573" s="14" t="str">
        <f>("Un detalle del "&amp;B572&amp;" al "&amp;[1]BALANZA!$B$3&amp;" "&amp;[1]BALANZA!$C$3&amp;" es como se detalla a continuación:")</f>
        <v>Un detalle del Gasto de Depreciación y Amortización al 30 de Noviembre del 2024 - 2023 es como se detalla a continuación:</v>
      </c>
      <c r="C573" s="32"/>
      <c r="D573" s="32"/>
      <c r="E573" s="32"/>
    </row>
    <row r="574" spans="2:27" x14ac:dyDescent="0.25">
      <c r="B574" s="13"/>
    </row>
    <row r="575" spans="2:27" x14ac:dyDescent="0.25">
      <c r="B575" s="177" t="s">
        <v>294</v>
      </c>
      <c r="C575" s="178" t="str">
        <f>+[1]BALANZA!B21</f>
        <v>CUENTA  9604127870</v>
      </c>
      <c r="D575" s="178">
        <f>+[1]BALANZA!C21</f>
        <v>1454948.77</v>
      </c>
      <c r="E575" s="206" t="s">
        <v>218</v>
      </c>
    </row>
    <row r="576" spans="2:27" x14ac:dyDescent="0.25">
      <c r="B576" s="159" t="s">
        <v>309</v>
      </c>
      <c r="C576" s="255">
        <f>+[1]nota13!K29</f>
        <v>28046103.980000004</v>
      </c>
      <c r="D576" s="38">
        <f>+[1]nota13!K14</f>
        <v>47465209.639999986</v>
      </c>
      <c r="E576" s="83">
        <f>+C576-D576</f>
        <v>-19419105.659999982</v>
      </c>
    </row>
    <row r="577" spans="2:21" x14ac:dyDescent="0.25">
      <c r="B577" s="159" t="s">
        <v>310</v>
      </c>
      <c r="C577" s="255">
        <f>-C360-D577-20309</f>
        <v>160568.42000000001</v>
      </c>
      <c r="D577" s="255">
        <f>-D360-20309</f>
        <v>237996.08</v>
      </c>
      <c r="E577" s="83">
        <f>+C577-D577</f>
        <v>-77427.659999999974</v>
      </c>
    </row>
    <row r="578" spans="2:21" x14ac:dyDescent="0.25">
      <c r="B578" s="159"/>
      <c r="C578" s="255"/>
      <c r="D578" s="38"/>
      <c r="E578" s="83">
        <f>+C578-D578</f>
        <v>0</v>
      </c>
    </row>
    <row r="579" spans="2:21" x14ac:dyDescent="0.25">
      <c r="B579" s="244" t="s">
        <v>311</v>
      </c>
      <c r="C579" s="47">
        <f>SUM(C576:C578)</f>
        <v>28206672.400000006</v>
      </c>
      <c r="D579" s="96">
        <f>SUM(D576:D578)</f>
        <v>47703205.719999984</v>
      </c>
      <c r="E579" s="47">
        <f>SUM(E576:E578)</f>
        <v>-19496533.319999982</v>
      </c>
    </row>
    <row r="580" spans="2:21" x14ac:dyDescent="0.25">
      <c r="B580" s="256"/>
      <c r="C580" s="258">
        <f>+C579-[1]ERF!B20</f>
        <v>0</v>
      </c>
      <c r="D580" s="258">
        <f>+D579-[1]ERF!C20</f>
        <v>0</v>
      </c>
      <c r="E580" s="89"/>
    </row>
    <row r="581" spans="2:21" x14ac:dyDescent="0.25">
      <c r="B581" s="55" t="str">
        <f>("Cambio porcentual con relación al "&amp;$D$115&amp;".")</f>
        <v>Cambio porcentual con relación al 2023.</v>
      </c>
      <c r="C581" s="56"/>
      <c r="D581" s="57" t="str">
        <f>IF(E581&gt;=0,"Aumento","Disminución")</f>
        <v>Disminución</v>
      </c>
      <c r="E581" s="90">
        <f>+E579/D579</f>
        <v>-0.40870488734944477</v>
      </c>
    </row>
    <row r="582" spans="2:21" x14ac:dyDescent="0.25">
      <c r="B582" s="62"/>
      <c r="C582" s="62"/>
      <c r="D582" s="257"/>
      <c r="E582" s="63"/>
    </row>
    <row r="583" spans="2:21" x14ac:dyDescent="0.25">
      <c r="B583" s="62"/>
      <c r="C583" s="62"/>
      <c r="D583" s="257"/>
      <c r="E583" s="63"/>
    </row>
    <row r="584" spans="2:21" ht="11.25" customHeight="1" x14ac:dyDescent="0.25">
      <c r="B584" s="62"/>
      <c r="C584" s="259"/>
      <c r="D584" s="257"/>
      <c r="E584" s="63"/>
    </row>
    <row r="585" spans="2:21" ht="9.75" customHeight="1" x14ac:dyDescent="0.25">
      <c r="B585" s="62"/>
      <c r="C585" s="62"/>
      <c r="D585" s="257"/>
      <c r="E585" s="63"/>
    </row>
    <row r="586" spans="2:21" ht="60" customHeight="1" x14ac:dyDescent="0.25">
      <c r="B586" s="62"/>
      <c r="C586" s="62"/>
      <c r="D586" s="257"/>
      <c r="E586" s="63"/>
    </row>
    <row r="587" spans="2:21" ht="16.5" customHeight="1" x14ac:dyDescent="0.25">
      <c r="B587" s="260" t="s">
        <v>312</v>
      </c>
    </row>
    <row r="588" spans="2:21" x14ac:dyDescent="0.25">
      <c r="B588" s="260" t="s">
        <v>313</v>
      </c>
    </row>
    <row r="589" spans="2:21" ht="18.75" customHeight="1" x14ac:dyDescent="0.25">
      <c r="B589" s="14" t="str">
        <f>("Un detalle de "&amp;B588&amp;" al "&amp;[1]BALANZA!$B$3&amp;" "&amp;[1]BALANZA!$C$3&amp;" es como se detalla a continuación:")</f>
        <v>Un detalle de Otros gastos  al 30 de Noviembre del 2024 - 2023 es como se detalla a continuación:</v>
      </c>
      <c r="C589" s="32"/>
      <c r="D589" s="32"/>
      <c r="E589" s="32"/>
    </row>
    <row r="590" spans="2:21" ht="8.25" customHeight="1" x14ac:dyDescent="0.25">
      <c r="B590" s="13"/>
      <c r="G590" s="10"/>
    </row>
    <row r="591" spans="2:21" ht="18.75" customHeight="1" x14ac:dyDescent="0.25">
      <c r="B591" s="33" t="s">
        <v>314</v>
      </c>
      <c r="C591" s="34">
        <f>+[1]BALANZA!B4</f>
        <v>2024</v>
      </c>
      <c r="D591" s="34">
        <f>+[1]BALANZA!C4</f>
        <v>2023</v>
      </c>
      <c r="E591" s="206" t="s">
        <v>218</v>
      </c>
    </row>
    <row r="592" spans="2:21" x14ac:dyDescent="0.25">
      <c r="B592" s="116" t="s">
        <v>315</v>
      </c>
      <c r="C592" s="261">
        <f>+'[1]BALANZA G'!C192+'[1]BALANZA G'!C193+'[1]BALANZA G'!C194+'[1]BALANZA G'!C195</f>
        <v>2647940.1399999997</v>
      </c>
      <c r="D592" s="261">
        <f>+'[1]BALANZA G'!D192+'[1]BALANZA G'!D193+'[1]BALANZA G'!D194+'[1]BALANZA G'!D195</f>
        <v>2856529.28</v>
      </c>
      <c r="E592" s="44">
        <f>+C592-D592</f>
        <v>-208589.14000000013</v>
      </c>
      <c r="I592" s="93"/>
      <c r="U592" s="212"/>
    </row>
    <row r="593" spans="2:26" x14ac:dyDescent="0.25">
      <c r="B593" s="116" t="s">
        <v>316</v>
      </c>
      <c r="C593" s="261">
        <f>+'[1]BALANZA G'!C196</f>
        <v>57277053.770000003</v>
      </c>
      <c r="D593" s="261">
        <f>+'[1]BALANZA G'!D196</f>
        <v>58090474.640000001</v>
      </c>
      <c r="E593" s="44">
        <f>+C593-D593</f>
        <v>-813420.86999999732</v>
      </c>
      <c r="I593" s="93"/>
      <c r="U593" s="212"/>
    </row>
    <row r="594" spans="2:26" x14ac:dyDescent="0.25">
      <c r="B594" s="159" t="s">
        <v>317</v>
      </c>
      <c r="C594" s="261">
        <f>+'[1]BALANZA G'!C200+'[1]BALANZA G'!C197+'[1]BALANZA G'!C198</f>
        <v>1128467.44</v>
      </c>
      <c r="D594" s="261">
        <f>+'[1]BALANZA G'!D200+'[1]BALANZA G'!D197+'[1]BALANZA G'!D198</f>
        <v>733346.98</v>
      </c>
      <c r="E594" s="44">
        <f t="shared" ref="E594:E600" si="6">+C594-D594</f>
        <v>395120.45999999996</v>
      </c>
      <c r="I594" s="93"/>
      <c r="U594" s="212"/>
    </row>
    <row r="595" spans="2:26" x14ac:dyDescent="0.25">
      <c r="B595" s="159" t="s">
        <v>318</v>
      </c>
      <c r="C595" s="261">
        <f>+'[1]BALANZA G'!C202+'[1]BALANZA G'!C201+'[1]BALANZA G'!C199</f>
        <v>772530</v>
      </c>
      <c r="D595" s="261">
        <f>+'[1]BALANZA G'!D199+'[1]BALANZA G'!D201+'[1]BALANZA G'!D202</f>
        <v>1276469.5</v>
      </c>
      <c r="E595" s="44">
        <f t="shared" si="6"/>
        <v>-503939.5</v>
      </c>
      <c r="I595" s="93"/>
      <c r="U595" s="212"/>
    </row>
    <row r="596" spans="2:26" x14ac:dyDescent="0.25">
      <c r="B596" s="159" t="s">
        <v>319</v>
      </c>
      <c r="C596" s="261">
        <f>+'[1]BALANZA G'!C205+'[1]BALANZA G'!C204+'[1]BALANZA G'!C203</f>
        <v>175</v>
      </c>
      <c r="D596" s="261">
        <f>+'[1]BALANZA G'!D205+'[1]BALANZA G'!D204+'[1]BALANZA G'!D203</f>
        <v>1300</v>
      </c>
      <c r="E596" s="44">
        <f t="shared" si="6"/>
        <v>-1125</v>
      </c>
      <c r="I596" s="93"/>
      <c r="U596" s="212"/>
    </row>
    <row r="597" spans="2:26" x14ac:dyDescent="0.25">
      <c r="B597" s="116" t="s">
        <v>320</v>
      </c>
      <c r="C597" s="261">
        <f>+'[1]BALANZA G'!C207+'[1]BALANZA G'!C208+'[1]BALANZA G'!C210+'[1]BALANZA G'!C211+'[1]BALANZA G'!C212+'[1]BALANZA G'!C209+'[1]BALANZA G'!C213</f>
        <v>2941308.58</v>
      </c>
      <c r="D597" s="261">
        <f>+'[1]BALANZA G'!D207+'[1]BALANZA G'!D208+'[1]BALANZA G'!D210+'[1]BALANZA G'!D211+'[1]BALANZA G'!D212+'[1]BALANZA G'!D209</f>
        <v>3318996.1599999997</v>
      </c>
      <c r="E597" s="44">
        <f t="shared" si="6"/>
        <v>-377687.57999999961</v>
      </c>
      <c r="I597" s="93"/>
      <c r="U597" s="212"/>
    </row>
    <row r="598" spans="2:26" x14ac:dyDescent="0.25">
      <c r="B598" s="116" t="s">
        <v>321</v>
      </c>
      <c r="C598" s="261">
        <f>+'[1]BALANZA G'!C214+'[1]BALANZA G'!C215</f>
        <v>610204.24</v>
      </c>
      <c r="D598" s="261">
        <f>+'[1]BALANZA G'!D215+'[1]BALANZA G'!D214</f>
        <v>493233.52999999997</v>
      </c>
      <c r="E598" s="44">
        <f t="shared" si="6"/>
        <v>116970.71000000002</v>
      </c>
      <c r="I598" s="93"/>
      <c r="U598" s="212"/>
    </row>
    <row r="599" spans="2:26" ht="30" x14ac:dyDescent="0.25">
      <c r="B599" s="159" t="s">
        <v>322</v>
      </c>
      <c r="C599" s="261">
        <f>+'[1]BALANZA G'!C217+'[1]BALANZA G'!C218+'[1]BALANZA G'!C219+'[1]BALANZA G'!C220+'[1]BALANZA G'!C221+'[1]BALANZA G'!C223+'[1]BALANZA G'!C224+'[1]BALANZA G'!C225+'[1]BALANZA G'!C226+'[1]BALANZA G'!C227+'[1]BALANZA G'!C229+'[1]BALANZA G'!C230+'[1]BALANZA G'!C231+'[1]BALANZA G'!C222</f>
        <v>-7605166.0500000007</v>
      </c>
      <c r="D599" s="261">
        <f>+'[1]BALANZA G'!D217+'[1]BALANZA G'!D218+'[1]BALANZA G'!D219+'[1]BALANZA G'!D220+'[1]BALANZA G'!D221+'[1]BALANZA G'!D223+'[1]BALANZA G'!D224+'[1]BALANZA G'!D225+'[1]BALANZA G'!D226+'[1]BALANZA G'!D227+'[1]BALANZA G'!D229+'[1]BALANZA G'!D230+'[1]BALANZA G'!D231+'[1]BALANZA G'!D222</f>
        <v>1738683.3199999998</v>
      </c>
      <c r="E599" s="262">
        <f t="shared" si="6"/>
        <v>-9343849.370000001</v>
      </c>
      <c r="I599" s="93"/>
      <c r="U599" s="212"/>
    </row>
    <row r="600" spans="2:26" ht="21.75" customHeight="1" x14ac:dyDescent="0.25">
      <c r="B600" s="159" t="s">
        <v>323</v>
      </c>
      <c r="C600" s="261">
        <f>+'[1]BALANZA G'!C233+'[1]BALANZA G'!C234+'[1]BALANZA G'!C236+'[1]BALANZA G'!C237+'[1]BALANZA G'!C238+'[1]BALANZA G'!C240+'[1]BALANZA G'!C186+'[1]BALANZA G'!C187+'[1]BALANZA G'!C191+'[1]BALANZA G'!C239</f>
        <v>7374299.6600000001</v>
      </c>
      <c r="D600" s="261">
        <f>+'[1]BALANZA G'!D186+'[1]BALANZA G'!D187+'[1]BALANZA G'!D233+'[1]BALANZA G'!D236+'[1]BALANZA G'!D237+'[1]BALANZA G'!D238+'[1]BALANZA G'!D240+'[1]BALANZA G'!D234+'[1]BALANZA G'!D191+'[1]BALANZA G'!D239</f>
        <v>9598083.2300000004</v>
      </c>
      <c r="E600" s="263">
        <f t="shared" si="6"/>
        <v>-2223783.5700000003</v>
      </c>
      <c r="I600" s="93"/>
      <c r="U600" s="212"/>
    </row>
    <row r="601" spans="2:26" ht="18.75" customHeight="1" x14ac:dyDescent="0.25">
      <c r="B601" s="85" t="s">
        <v>324</v>
      </c>
      <c r="C601" s="47">
        <f>SUM(C592:C600)</f>
        <v>65146812.780000001</v>
      </c>
      <c r="D601" s="109">
        <f>SUM(D592:D600)</f>
        <v>78107116.640000001</v>
      </c>
      <c r="E601" s="264">
        <f>SUM(E592:E600)</f>
        <v>-12960303.859999999</v>
      </c>
    </row>
    <row r="602" spans="2:26" ht="12.75" customHeight="1" x14ac:dyDescent="0.25">
      <c r="B602" s="13" t="s">
        <v>112</v>
      </c>
      <c r="C602" s="246">
        <f>+C601-[1]ERF!B22</f>
        <v>0</v>
      </c>
      <c r="J602" s="49"/>
    </row>
    <row r="603" spans="2:26" s="45" customFormat="1" x14ac:dyDescent="0.25">
      <c r="B603" s="55" t="str">
        <f>("Cambio porcentual con relación al "&amp;$D$115&amp;".")</f>
        <v>Cambio porcentual con relación al 2023.</v>
      </c>
      <c r="C603" s="56"/>
      <c r="D603" s="57" t="str">
        <f>IF(E603&gt;=0,"Aumento","Disminución")</f>
        <v>Disminución</v>
      </c>
      <c r="E603" s="90">
        <f>+E601/D601</f>
        <v>-0.16592987191851868</v>
      </c>
      <c r="J603" s="3"/>
      <c r="N603" s="49"/>
      <c r="R603" s="50"/>
      <c r="S603" s="50"/>
      <c r="T603" s="50"/>
      <c r="U603" s="50"/>
      <c r="V603" s="50"/>
      <c r="W603" s="50"/>
      <c r="X603" s="50"/>
      <c r="Y603" s="50"/>
      <c r="Z603" s="49"/>
    </row>
    <row r="604" spans="2:26" s="45" customFormat="1" x14ac:dyDescent="0.25">
      <c r="B604" s="62"/>
      <c r="C604" s="62"/>
      <c r="D604" s="60"/>
      <c r="E604" s="63"/>
      <c r="J604" s="3"/>
      <c r="N604" s="49"/>
      <c r="R604" s="50"/>
      <c r="S604" s="50"/>
      <c r="T604" s="50"/>
      <c r="U604" s="50"/>
      <c r="V604" s="50"/>
      <c r="W604" s="50"/>
      <c r="X604" s="50"/>
      <c r="Y604" s="50"/>
      <c r="Z604" s="49"/>
    </row>
    <row r="605" spans="2:26" s="45" customFormat="1" x14ac:dyDescent="0.25">
      <c r="B605" s="62"/>
      <c r="C605" s="62"/>
      <c r="D605" s="60"/>
      <c r="E605" s="63"/>
      <c r="J605" s="3"/>
      <c r="N605" s="49"/>
      <c r="R605" s="50"/>
      <c r="S605" s="50"/>
      <c r="T605" s="50"/>
      <c r="U605" s="50"/>
      <c r="V605" s="50"/>
      <c r="W605" s="50"/>
      <c r="X605" s="50"/>
      <c r="Y605" s="50"/>
      <c r="Z605" s="49"/>
    </row>
    <row r="606" spans="2:26" ht="10.5" customHeight="1" x14ac:dyDescent="0.25">
      <c r="B606" s="62"/>
      <c r="C606" s="62"/>
      <c r="D606" s="257"/>
      <c r="E606" s="63"/>
    </row>
    <row r="607" spans="2:26" x14ac:dyDescent="0.25">
      <c r="B607" s="65" t="s">
        <v>325</v>
      </c>
    </row>
    <row r="608" spans="2:26" ht="21" customHeight="1" x14ac:dyDescent="0.25">
      <c r="B608" s="65" t="s">
        <v>326</v>
      </c>
    </row>
    <row r="609" spans="2:26" ht="30" customHeight="1" x14ac:dyDescent="0.25">
      <c r="B609" s="14" t="str">
        <f>("Un detalle del "&amp;B608&amp;" al "&amp;[1]BALANZA!$B$3&amp;" "&amp;[1]BALANZA!$C$3&amp;" es como se detalla a continuación:")</f>
        <v>Un detalle del Gastos Financieros  al 30 de Noviembre del 2024 - 2023 es como se detalla a continuación:</v>
      </c>
      <c r="C609" s="32"/>
      <c r="D609" s="32"/>
      <c r="E609" s="32"/>
    </row>
    <row r="610" spans="2:26" ht="13.5" customHeight="1" x14ac:dyDescent="0.25">
      <c r="B610" s="2"/>
    </row>
    <row r="611" spans="2:26" x14ac:dyDescent="0.25">
      <c r="B611" s="36" t="str">
        <f>+B591</f>
        <v>PARTIDA</v>
      </c>
      <c r="C611" s="265">
        <f>+C591</f>
        <v>2024</v>
      </c>
      <c r="D611" s="265">
        <f>+D591</f>
        <v>2023</v>
      </c>
      <c r="E611" s="206" t="s">
        <v>218</v>
      </c>
    </row>
    <row r="612" spans="2:26" x14ac:dyDescent="0.25">
      <c r="B612" s="159" t="s">
        <v>327</v>
      </c>
      <c r="C612" s="38">
        <f>+'[1]BALANZA G'!C235</f>
        <v>694598.84</v>
      </c>
      <c r="D612" s="38">
        <f>+'[1]BALANZA G'!D235</f>
        <v>746207.89</v>
      </c>
      <c r="E612" s="44">
        <f>+C612-D612</f>
        <v>-51609.050000000047</v>
      </c>
    </row>
    <row r="613" spans="2:26" hidden="1" x14ac:dyDescent="0.25">
      <c r="B613" s="159" t="s">
        <v>328</v>
      </c>
      <c r="C613" s="38">
        <f>+'[1]BALANZA G'!C241</f>
        <v>0</v>
      </c>
      <c r="D613" s="38">
        <f>+'[1]BALANZA G'!D241</f>
        <v>0</v>
      </c>
      <c r="E613" s="44">
        <f>+C613-D613</f>
        <v>0</v>
      </c>
    </row>
    <row r="614" spans="2:26" x14ac:dyDescent="0.25">
      <c r="B614" s="244" t="s">
        <v>329</v>
      </c>
      <c r="C614" s="96">
        <f>SUM(C612:C613)</f>
        <v>694598.84</v>
      </c>
      <c r="D614" s="96">
        <f>SUM(D612:D613)</f>
        <v>746207.89</v>
      </c>
      <c r="E614" s="96">
        <f>SUM(E612:E613)</f>
        <v>-51609.050000000047</v>
      </c>
    </row>
    <row r="615" spans="2:26" x14ac:dyDescent="0.25">
      <c r="B615" s="266"/>
      <c r="C615" s="103">
        <f>+C614-[1]ERF!B23</f>
        <v>0</v>
      </c>
      <c r="D615" s="104"/>
      <c r="E615" s="105"/>
      <c r="J615" s="49"/>
    </row>
    <row r="616" spans="2:26" s="45" customFormat="1" x14ac:dyDescent="0.25">
      <c r="B616" s="55" t="str">
        <f>("Cambio porcentual con relación al "&amp;$D$115&amp;".")</f>
        <v>Cambio porcentual con relación al 2023.</v>
      </c>
      <c r="C616" s="56"/>
      <c r="D616" s="57" t="str">
        <f>IF(E616&gt;=0,"Aumento","Disminución")</f>
        <v>Disminución</v>
      </c>
      <c r="E616" s="90">
        <f>+E614/D614</f>
        <v>-6.916175866218735E-2</v>
      </c>
      <c r="J616" s="3"/>
      <c r="N616" s="49"/>
      <c r="R616" s="50"/>
      <c r="S616" s="50"/>
      <c r="T616" s="50"/>
      <c r="U616" s="50"/>
      <c r="V616" s="50"/>
      <c r="W616" s="50"/>
      <c r="X616" s="50"/>
      <c r="Y616" s="50"/>
      <c r="Z616" s="49"/>
    </row>
    <row r="617" spans="2:26" x14ac:dyDescent="0.25">
      <c r="B617" s="62"/>
      <c r="C617" s="62"/>
      <c r="D617" s="257"/>
      <c r="E617" s="63"/>
    </row>
    <row r="618" spans="2:26" x14ac:dyDescent="0.25">
      <c r="B618" s="65" t="s">
        <v>330</v>
      </c>
      <c r="C618" s="62"/>
      <c r="D618" s="257"/>
      <c r="E618" s="63"/>
    </row>
    <row r="619" spans="2:26" x14ac:dyDescent="0.25">
      <c r="B619" s="65" t="s">
        <v>331</v>
      </c>
      <c r="C619" s="62"/>
      <c r="D619" s="257"/>
      <c r="E619" s="63"/>
    </row>
    <row r="620" spans="2:26" ht="15" customHeight="1" x14ac:dyDescent="0.25">
      <c r="B620" s="14" t="str">
        <f>("Un detalle de "&amp;B619&amp;" al "&amp;[1]BALANZA!$B$3&amp;" "&amp;[1]BALANZA!$C$3&amp;" es como se detalla a continuación:")</f>
        <v>Un detalle de Compromisos y contingencias al 30 de Noviembre del 2024 - 2023 es como se detalla a continuación:</v>
      </c>
      <c r="C620" s="32"/>
      <c r="D620" s="32"/>
      <c r="E620" s="32"/>
    </row>
    <row r="621" spans="2:26" ht="41.25" customHeight="1" x14ac:dyDescent="0.25">
      <c r="B621" s="20" t="str">
        <f>("La facturación historica no cobrada a la fecha de corte, para el "&amp;C623&amp;" presenta un monto de RD$"&amp;R626&amp;" y para el "&amp;D623&amp;" presenta un monto de RD$"&amp;R627&amp;"." )</f>
        <v>La facturación historica no cobrada a la fecha de corte, para el 2024 presenta un monto de RD$513,985,120.94 y para el 2023 presenta un monto de RD$453,841,689.00.</v>
      </c>
      <c r="C621" s="20"/>
      <c r="D621" s="20"/>
      <c r="E621" s="20"/>
    </row>
    <row r="622" spans="2:26" ht="13.5" customHeight="1" x14ac:dyDescent="0.25">
      <c r="B622" s="20"/>
      <c r="C622" s="20"/>
      <c r="D622" s="20"/>
      <c r="E622" s="20"/>
    </row>
    <row r="623" spans="2:26" x14ac:dyDescent="0.25">
      <c r="B623" s="265" t="str">
        <f>+B611</f>
        <v>PARTIDA</v>
      </c>
      <c r="C623" s="265">
        <f>+C611</f>
        <v>2024</v>
      </c>
      <c r="D623" s="265">
        <f>+D611</f>
        <v>2023</v>
      </c>
      <c r="E623" s="206" t="s">
        <v>218</v>
      </c>
    </row>
    <row r="624" spans="2:26" x14ac:dyDescent="0.25">
      <c r="B624" s="159" t="s">
        <v>332</v>
      </c>
      <c r="C624" s="255">
        <f>+C640</f>
        <v>1817264</v>
      </c>
      <c r="D624" s="255">
        <f>+D640</f>
        <v>7909235</v>
      </c>
      <c r="E624" s="83">
        <f>+C624-D624</f>
        <v>-6091971</v>
      </c>
    </row>
    <row r="625" spans="2:26" x14ac:dyDescent="0.25">
      <c r="B625" s="159" t="s">
        <v>333</v>
      </c>
      <c r="C625" s="255">
        <f>+C651-C624</f>
        <v>512167856.94</v>
      </c>
      <c r="D625" s="255">
        <f>+D651-D624</f>
        <v>445932454</v>
      </c>
      <c r="E625" s="83">
        <f>+C625-D625</f>
        <v>66235402.939999998</v>
      </c>
    </row>
    <row r="626" spans="2:26" x14ac:dyDescent="0.25">
      <c r="B626" s="244" t="s">
        <v>334</v>
      </c>
      <c r="C626" s="47">
        <f>SUM(C624:C625)</f>
        <v>513985120.94</v>
      </c>
      <c r="D626" s="47">
        <f>SUM(D624:D625)</f>
        <v>453841689</v>
      </c>
      <c r="E626" s="47">
        <f>SUM(E624:E625)</f>
        <v>60143431.939999998</v>
      </c>
      <c r="R626" s="4" t="str">
        <f>+CONCATENATE(S626,",",T626,",",U626,V626,AB626)</f>
        <v>513,985,120.94</v>
      </c>
      <c r="S626" s="4" t="str">
        <f>MID(C626,1,3)</f>
        <v>513</v>
      </c>
      <c r="T626" s="4" t="str">
        <f>MID(C626,4,3)</f>
        <v>985</v>
      </c>
      <c r="U626" s="4" t="str">
        <f>MID(C626,7,3)</f>
        <v>120</v>
      </c>
      <c r="V626" s="4" t="str">
        <f>MID(C626,10,3)</f>
        <v>.94</v>
      </c>
    </row>
    <row r="627" spans="2:26" x14ac:dyDescent="0.25">
      <c r="B627" s="266"/>
      <c r="C627" s="267"/>
      <c r="D627" s="104"/>
      <c r="E627" s="105"/>
      <c r="J627" s="49"/>
      <c r="R627" s="4" t="str">
        <f>+CONCATENATE(S627,",",T627,",",U627,V627,AB627,".00")</f>
        <v>453,841,689.00</v>
      </c>
      <c r="S627" s="4" t="str">
        <f>MID(D626,1,3)</f>
        <v>453</v>
      </c>
      <c r="T627" s="4" t="str">
        <f>MID(D626,4,3)</f>
        <v>841</v>
      </c>
      <c r="U627" s="4" t="str">
        <f>MID(D626,7,3)</f>
        <v>689</v>
      </c>
      <c r="V627" s="4" t="str">
        <f>MID(D626,10,3)</f>
        <v/>
      </c>
    </row>
    <row r="628" spans="2:26" s="45" customFormat="1" x14ac:dyDescent="0.25">
      <c r="B628" s="55" t="str">
        <f>("Cambio porcentual con relación al "&amp;$D$115&amp;".")</f>
        <v>Cambio porcentual con relación al 2023.</v>
      </c>
      <c r="C628" s="56"/>
      <c r="D628" s="268" t="str">
        <f>IF(E628&gt;=0,"Aumento","Disminución")</f>
        <v>Aumento</v>
      </c>
      <c r="E628" s="269">
        <f>IFERROR((+E626/D626),0)</f>
        <v>0.13252073002046313</v>
      </c>
      <c r="J628" s="3"/>
      <c r="N628" s="49"/>
      <c r="R628" s="50"/>
      <c r="S628" s="50"/>
      <c r="T628" s="50"/>
      <c r="U628" s="50"/>
      <c r="V628" s="50"/>
      <c r="W628" s="50"/>
      <c r="X628" s="50"/>
      <c r="Y628" s="50"/>
      <c r="Z628" s="49"/>
    </row>
    <row r="629" spans="2:26" s="45" customFormat="1" x14ac:dyDescent="0.25">
      <c r="B629" s="59"/>
      <c r="C629" s="59"/>
      <c r="D629" s="270"/>
      <c r="E629" s="271"/>
      <c r="J629" s="3"/>
      <c r="N629" s="49"/>
      <c r="R629" s="50"/>
      <c r="S629" s="50"/>
      <c r="T629" s="50"/>
      <c r="U629" s="50"/>
      <c r="V629" s="50"/>
      <c r="W629" s="50"/>
      <c r="X629" s="50"/>
      <c r="Y629" s="50"/>
      <c r="Z629" s="49"/>
    </row>
    <row r="630" spans="2:26" s="45" customFormat="1" x14ac:dyDescent="0.25">
      <c r="B630" s="59"/>
      <c r="C630" s="59"/>
      <c r="D630" s="270"/>
      <c r="E630" s="271"/>
      <c r="J630" s="3"/>
      <c r="N630" s="49"/>
      <c r="R630" s="50"/>
      <c r="S630" s="50"/>
      <c r="T630" s="50"/>
      <c r="U630" s="50"/>
      <c r="V630" s="50"/>
      <c r="W630" s="50"/>
      <c r="X630" s="50"/>
      <c r="Y630" s="50"/>
      <c r="Z630" s="49"/>
    </row>
    <row r="631" spans="2:26" ht="13.5" customHeight="1" x14ac:dyDescent="0.25">
      <c r="B631" s="16"/>
      <c r="C631" s="16"/>
      <c r="D631" s="16"/>
      <c r="E631" s="16"/>
    </row>
    <row r="632" spans="2:26" ht="14.25" customHeight="1" x14ac:dyDescent="0.25"/>
    <row r="633" spans="2:26" ht="14.25" customHeight="1" x14ac:dyDescent="0.25"/>
    <row r="634" spans="2:26" ht="70.5" customHeight="1" x14ac:dyDescent="0.25">
      <c r="B634" s="272" t="s">
        <v>335</v>
      </c>
      <c r="C634" s="272"/>
      <c r="D634" s="272"/>
      <c r="E634" s="272"/>
    </row>
    <row r="635" spans="2:26" s="5" customFormat="1" ht="42.75" customHeight="1" x14ac:dyDescent="0.2">
      <c r="B635" s="273" t="str">
        <f>("La informacion de  Cuentas por Cobrar según el Sistema Comercial al "&amp;[1]BALANZA!B3&amp;" "&amp;[1]BALANZA!C3&amp;" se detalla a continuación")</f>
        <v>La informacion de  Cuentas por Cobrar según el Sistema Comercial al 30 de Noviembre del 2024 - 2023 se detalla a continuación</v>
      </c>
      <c r="C635" s="273"/>
      <c r="D635" s="273"/>
      <c r="E635" s="273"/>
      <c r="J635" s="6"/>
      <c r="N635" s="6"/>
      <c r="R635" s="274"/>
      <c r="S635" s="274"/>
      <c r="T635" s="274"/>
      <c r="U635" s="274"/>
      <c r="V635" s="274"/>
      <c r="W635" s="274"/>
      <c r="X635" s="274"/>
      <c r="Y635" s="274"/>
      <c r="Z635" s="6"/>
    </row>
    <row r="636" spans="2:26" x14ac:dyDescent="0.25">
      <c r="B636" s="206" t="str">
        <f>+B623</f>
        <v>PARTIDA</v>
      </c>
      <c r="C636" s="206">
        <f>+C623</f>
        <v>2024</v>
      </c>
      <c r="D636" s="206">
        <f>+D623</f>
        <v>2023</v>
      </c>
      <c r="E636" s="275"/>
    </row>
    <row r="637" spans="2:26" x14ac:dyDescent="0.25">
      <c r="B637" s="222"/>
      <c r="C637" s="44"/>
      <c r="D637" s="276"/>
    </row>
    <row r="638" spans="2:26" x14ac:dyDescent="0.25">
      <c r="B638" s="222" t="s">
        <v>336</v>
      </c>
      <c r="C638" s="44">
        <v>243262</v>
      </c>
      <c r="D638" s="180">
        <v>235712</v>
      </c>
    </row>
    <row r="639" spans="2:26" x14ac:dyDescent="0.25">
      <c r="B639" s="222" t="s">
        <v>337</v>
      </c>
      <c r="C639" s="44">
        <v>2000</v>
      </c>
      <c r="D639" s="180">
        <v>1210</v>
      </c>
    </row>
    <row r="640" spans="2:26" x14ac:dyDescent="0.25">
      <c r="B640" s="222" t="s">
        <v>338</v>
      </c>
      <c r="C640" s="44">
        <f>980788+836476</f>
        <v>1817264</v>
      </c>
      <c r="D640" s="180">
        <f>7130810+778425</f>
        <v>7909235</v>
      </c>
    </row>
    <row r="641" spans="2:5" x14ac:dyDescent="0.25">
      <c r="B641" s="222" t="s">
        <v>339</v>
      </c>
      <c r="C641" s="44">
        <v>590249</v>
      </c>
      <c r="D641" s="180">
        <v>869044</v>
      </c>
    </row>
    <row r="642" spans="2:5" x14ac:dyDescent="0.25">
      <c r="B642" s="222" t="s">
        <v>340</v>
      </c>
      <c r="C642" s="44">
        <v>635899</v>
      </c>
      <c r="D642" s="180">
        <v>920884</v>
      </c>
    </row>
    <row r="643" spans="2:5" x14ac:dyDescent="0.25">
      <c r="B643" s="277" t="s">
        <v>341</v>
      </c>
      <c r="C643" s="278">
        <f>SUM(C638:C642)</f>
        <v>3288674</v>
      </c>
      <c r="D643" s="278">
        <f>SUM(D638:D642)</f>
        <v>9936085</v>
      </c>
    </row>
    <row r="644" spans="2:5" x14ac:dyDescent="0.25">
      <c r="B644" s="222" t="s">
        <v>336</v>
      </c>
      <c r="C644" s="44">
        <v>24407875</v>
      </c>
      <c r="D644" s="180">
        <f>14368305</f>
        <v>14368305</v>
      </c>
    </row>
    <row r="645" spans="2:5" x14ac:dyDescent="0.25">
      <c r="B645" s="222" t="s">
        <v>337</v>
      </c>
      <c r="C645" s="44">
        <v>90874</v>
      </c>
      <c r="D645" s="180">
        <v>68295</v>
      </c>
    </row>
    <row r="646" spans="2:5" x14ac:dyDescent="0.25">
      <c r="B646" s="222" t="s">
        <v>342</v>
      </c>
      <c r="C646" s="44">
        <v>267076</v>
      </c>
      <c r="D646" s="180">
        <v>63646</v>
      </c>
    </row>
    <row r="647" spans="2:5" x14ac:dyDescent="0.25">
      <c r="B647" s="222" t="s">
        <v>343</v>
      </c>
      <c r="C647" s="44">
        <v>3804338</v>
      </c>
      <c r="D647" s="180">
        <v>3352009</v>
      </c>
    </row>
    <row r="648" spans="2:5" x14ac:dyDescent="0.25">
      <c r="B648" s="222" t="s">
        <v>339</v>
      </c>
      <c r="C648" s="44">
        <v>197155719.75</v>
      </c>
      <c r="D648" s="180">
        <v>133132858</v>
      </c>
    </row>
    <row r="649" spans="2:5" x14ac:dyDescent="0.25">
      <c r="B649" s="222" t="s">
        <v>340</v>
      </c>
      <c r="C649" s="44">
        <v>284970564.19</v>
      </c>
      <c r="D649" s="180">
        <v>292920491</v>
      </c>
    </row>
    <row r="650" spans="2:5" x14ac:dyDescent="0.25">
      <c r="B650" s="277" t="s">
        <v>341</v>
      </c>
      <c r="C650" s="278">
        <f>SUM(C644:C649)</f>
        <v>510696446.94</v>
      </c>
      <c r="D650" s="278">
        <f>SUM(D644:D649)</f>
        <v>443905604</v>
      </c>
    </row>
    <row r="651" spans="2:5" x14ac:dyDescent="0.25">
      <c r="B651" s="277" t="s">
        <v>344</v>
      </c>
      <c r="C651" s="278">
        <f>+C643+C650</f>
        <v>513985120.94</v>
      </c>
      <c r="D651" s="278">
        <f>+D643+D650</f>
        <v>453841689</v>
      </c>
    </row>
    <row r="652" spans="2:5" x14ac:dyDescent="0.25">
      <c r="B652" s="279"/>
      <c r="E652" s="275"/>
    </row>
    <row r="653" spans="2:5" x14ac:dyDescent="0.25">
      <c r="B653" s="279"/>
      <c r="C653" s="280"/>
      <c r="E653" s="281"/>
    </row>
    <row r="654" spans="2:5" x14ac:dyDescent="0.25">
      <c r="B654" s="279"/>
      <c r="E654" s="281"/>
    </row>
    <row r="655" spans="2:5" x14ac:dyDescent="0.25">
      <c r="B655" s="279"/>
      <c r="E655" s="275"/>
    </row>
    <row r="656" spans="2:5" x14ac:dyDescent="0.25">
      <c r="B656" s="279"/>
      <c r="E656" s="275"/>
    </row>
    <row r="657" spans="2:5" x14ac:dyDescent="0.25">
      <c r="B657" s="279"/>
      <c r="E657" s="281"/>
    </row>
    <row r="658" spans="2:5" x14ac:dyDescent="0.25">
      <c r="B658" s="279"/>
      <c r="E658" s="275"/>
    </row>
    <row r="659" spans="2:5" x14ac:dyDescent="0.25">
      <c r="B659" s="279"/>
      <c r="E659" s="275"/>
    </row>
    <row r="660" spans="2:5" x14ac:dyDescent="0.25">
      <c r="B660" s="279"/>
      <c r="E660" s="275"/>
    </row>
    <row r="661" spans="2:5" x14ac:dyDescent="0.25">
      <c r="B661" s="279"/>
      <c r="E661" s="275"/>
    </row>
    <row r="662" spans="2:5" x14ac:dyDescent="0.25">
      <c r="B662" s="279"/>
      <c r="E662" s="275"/>
    </row>
    <row r="663" spans="2:5" x14ac:dyDescent="0.25">
      <c r="B663" s="279"/>
      <c r="E663" s="275"/>
    </row>
    <row r="664" spans="2:5" x14ac:dyDescent="0.25">
      <c r="B664" s="279"/>
      <c r="E664" s="275"/>
    </row>
    <row r="665" spans="2:5" x14ac:dyDescent="0.25">
      <c r="B665" s="279"/>
      <c r="E665" s="275"/>
    </row>
    <row r="666" spans="2:5" x14ac:dyDescent="0.25">
      <c r="B666" s="279"/>
      <c r="E666" s="275"/>
    </row>
    <row r="667" spans="2:5" x14ac:dyDescent="0.25">
      <c r="B667" s="279"/>
      <c r="E667" s="275"/>
    </row>
    <row r="668" spans="2:5" x14ac:dyDescent="0.25">
      <c r="B668" s="279"/>
      <c r="E668" s="275"/>
    </row>
    <row r="669" spans="2:5" x14ac:dyDescent="0.25">
      <c r="B669" s="279"/>
      <c r="E669" s="275"/>
    </row>
    <row r="670" spans="2:5" x14ac:dyDescent="0.25">
      <c r="B670" s="279"/>
      <c r="E670" s="275"/>
    </row>
    <row r="671" spans="2:5" x14ac:dyDescent="0.25">
      <c r="B671" s="279"/>
      <c r="E671" s="275"/>
    </row>
    <row r="672" spans="2:5" x14ac:dyDescent="0.25">
      <c r="B672" s="279"/>
      <c r="E672" s="275"/>
    </row>
    <row r="673" spans="2:5" x14ac:dyDescent="0.25">
      <c r="B673" s="279"/>
      <c r="E673" s="275"/>
    </row>
    <row r="674" spans="2:5" x14ac:dyDescent="0.25">
      <c r="B674" s="279"/>
      <c r="E674" s="275"/>
    </row>
    <row r="675" spans="2:5" x14ac:dyDescent="0.25">
      <c r="B675" s="279"/>
      <c r="E675" s="275"/>
    </row>
    <row r="676" spans="2:5" x14ac:dyDescent="0.25">
      <c r="B676" s="279"/>
      <c r="E676" s="275"/>
    </row>
    <row r="677" spans="2:5" x14ac:dyDescent="0.25">
      <c r="B677" s="279"/>
      <c r="E677" s="275"/>
    </row>
    <row r="678" spans="2:5" x14ac:dyDescent="0.25">
      <c r="B678" s="279"/>
      <c r="E678" s="275"/>
    </row>
    <row r="679" spans="2:5" x14ac:dyDescent="0.25">
      <c r="B679" s="279"/>
      <c r="E679" s="275"/>
    </row>
    <row r="680" spans="2:5" x14ac:dyDescent="0.25">
      <c r="B680" s="279"/>
      <c r="E680" s="275"/>
    </row>
    <row r="681" spans="2:5" x14ac:dyDescent="0.25">
      <c r="B681" s="279"/>
      <c r="E681" s="275"/>
    </row>
    <row r="682" spans="2:5" x14ac:dyDescent="0.25">
      <c r="B682" s="279"/>
      <c r="E682" s="275"/>
    </row>
    <row r="683" spans="2:5" x14ac:dyDescent="0.25">
      <c r="B683" s="279"/>
      <c r="E683" s="275"/>
    </row>
    <row r="684" spans="2:5" x14ac:dyDescent="0.25">
      <c r="B684" s="279"/>
      <c r="E684" s="275"/>
    </row>
    <row r="685" spans="2:5" x14ac:dyDescent="0.25">
      <c r="B685" s="279"/>
      <c r="E685" s="275"/>
    </row>
    <row r="686" spans="2:5" x14ac:dyDescent="0.25">
      <c r="B686" s="279"/>
      <c r="E686" s="275"/>
    </row>
    <row r="687" spans="2:5" x14ac:dyDescent="0.25">
      <c r="B687" s="279"/>
      <c r="E687" s="275"/>
    </row>
    <row r="688" spans="2:5" x14ac:dyDescent="0.25">
      <c r="B688" s="279"/>
      <c r="E688" s="275"/>
    </row>
    <row r="689" spans="2:7" x14ac:dyDescent="0.25">
      <c r="B689" s="279"/>
      <c r="E689" s="275"/>
    </row>
    <row r="690" spans="2:7" x14ac:dyDescent="0.25">
      <c r="B690" s="279"/>
      <c r="E690" s="275"/>
    </row>
    <row r="691" spans="2:7" ht="15" customHeight="1" x14ac:dyDescent="0.25">
      <c r="B691" s="279"/>
      <c r="E691" s="275"/>
    </row>
    <row r="692" spans="2:7" x14ac:dyDescent="0.25">
      <c r="B692" s="279"/>
    </row>
    <row r="693" spans="2:7" x14ac:dyDescent="0.25">
      <c r="C693" s="3"/>
    </row>
    <row r="696" spans="2:7" x14ac:dyDescent="0.25">
      <c r="B696" s="279"/>
    </row>
    <row r="698" spans="2:7" x14ac:dyDescent="0.25">
      <c r="B698" s="279">
        <v>136059</v>
      </c>
      <c r="C698" s="2" t="s">
        <v>345</v>
      </c>
    </row>
    <row r="699" spans="2:7" x14ac:dyDescent="0.25">
      <c r="B699" s="279">
        <v>135946</v>
      </c>
      <c r="C699" s="2" t="s">
        <v>346</v>
      </c>
      <c r="G699" s="2">
        <v>705696</v>
      </c>
    </row>
    <row r="700" spans="2:7" x14ac:dyDescent="0.25">
      <c r="B700" s="279">
        <v>135979</v>
      </c>
      <c r="C700" s="2" t="s">
        <v>347</v>
      </c>
      <c r="G700" s="2">
        <v>599024</v>
      </c>
    </row>
    <row r="701" spans="2:7" x14ac:dyDescent="0.25">
      <c r="B701" s="279">
        <v>135955</v>
      </c>
      <c r="C701" s="2" t="s">
        <v>348</v>
      </c>
      <c r="G701" s="2">
        <v>339264</v>
      </c>
    </row>
    <row r="702" spans="2:7" x14ac:dyDescent="0.25">
      <c r="B702" s="279" t="s">
        <v>349</v>
      </c>
      <c r="C702" s="2" t="s">
        <v>350</v>
      </c>
      <c r="G702" s="2">
        <v>18350</v>
      </c>
    </row>
    <row r="703" spans="2:7" x14ac:dyDescent="0.25">
      <c r="B703" s="279">
        <v>136575</v>
      </c>
      <c r="C703" s="2" t="s">
        <v>351</v>
      </c>
      <c r="G703" s="2">
        <v>26051</v>
      </c>
    </row>
    <row r="704" spans="2:7" x14ac:dyDescent="0.25">
      <c r="B704" s="279">
        <v>136082</v>
      </c>
      <c r="C704" s="2" t="s">
        <v>352</v>
      </c>
      <c r="G704" s="2">
        <v>24600</v>
      </c>
    </row>
    <row r="705" spans="2:7" x14ac:dyDescent="0.25">
      <c r="B705" s="279">
        <v>135945</v>
      </c>
      <c r="C705" s="2" t="s">
        <v>353</v>
      </c>
      <c r="G705" s="2">
        <v>6250</v>
      </c>
    </row>
    <row r="706" spans="2:7" x14ac:dyDescent="0.25">
      <c r="B706" s="279">
        <v>135971</v>
      </c>
      <c r="C706" s="2" t="s">
        <v>354</v>
      </c>
      <c r="G706" s="2">
        <v>53616</v>
      </c>
    </row>
    <row r="707" spans="2:7" x14ac:dyDescent="0.25">
      <c r="B707" s="279">
        <v>137615</v>
      </c>
      <c r="C707" s="2" t="s">
        <v>355</v>
      </c>
      <c r="G707" s="2">
        <v>29900</v>
      </c>
    </row>
    <row r="708" spans="2:7" x14ac:dyDescent="0.25">
      <c r="B708" s="279">
        <v>135962</v>
      </c>
      <c r="C708" s="2" t="s">
        <v>356</v>
      </c>
      <c r="G708" s="2">
        <v>33200</v>
      </c>
    </row>
    <row r="709" spans="2:7" x14ac:dyDescent="0.25">
      <c r="B709" s="279">
        <v>136744</v>
      </c>
      <c r="C709" s="2" t="s">
        <v>357</v>
      </c>
      <c r="G709" s="2">
        <v>36189</v>
      </c>
    </row>
    <row r="710" spans="2:7" x14ac:dyDescent="0.25">
      <c r="B710" s="279">
        <v>136065</v>
      </c>
      <c r="C710" s="2" t="s">
        <v>358</v>
      </c>
      <c r="G710" s="2">
        <v>31000</v>
      </c>
    </row>
    <row r="711" spans="2:7" x14ac:dyDescent="0.25">
      <c r="B711" s="279">
        <v>135951</v>
      </c>
      <c r="C711" s="2" t="s">
        <v>359</v>
      </c>
      <c r="G711" s="2">
        <v>36491</v>
      </c>
    </row>
    <row r="712" spans="2:7" x14ac:dyDescent="0.25">
      <c r="B712" s="279">
        <v>136077</v>
      </c>
      <c r="C712" s="2" t="s">
        <v>360</v>
      </c>
      <c r="G712" s="2">
        <v>38832</v>
      </c>
    </row>
    <row r="713" spans="2:7" x14ac:dyDescent="0.25">
      <c r="B713" s="279">
        <v>136090</v>
      </c>
      <c r="C713" s="2" t="s">
        <v>361</v>
      </c>
      <c r="G713" s="2">
        <v>37600</v>
      </c>
    </row>
    <row r="714" spans="2:7" x14ac:dyDescent="0.25">
      <c r="B714" s="279">
        <v>135990</v>
      </c>
      <c r="C714" s="2" t="s">
        <v>362</v>
      </c>
      <c r="G714" s="2">
        <v>229332</v>
      </c>
    </row>
    <row r="715" spans="2:7" x14ac:dyDescent="0.25">
      <c r="B715" s="279">
        <v>1000226</v>
      </c>
      <c r="C715" s="2" t="s">
        <v>363</v>
      </c>
      <c r="G715" s="2">
        <v>223940</v>
      </c>
    </row>
    <row r="716" spans="2:7" x14ac:dyDescent="0.25">
      <c r="B716" s="279">
        <v>135993</v>
      </c>
      <c r="C716" s="2" t="s">
        <v>364</v>
      </c>
      <c r="G716" s="2">
        <v>218600</v>
      </c>
    </row>
    <row r="717" spans="2:7" x14ac:dyDescent="0.25">
      <c r="B717" s="279">
        <v>135954</v>
      </c>
      <c r="C717" s="2" t="s">
        <v>365</v>
      </c>
      <c r="G717" s="2">
        <v>207352</v>
      </c>
    </row>
    <row r="718" spans="2:7" x14ac:dyDescent="0.25">
      <c r="B718" s="279">
        <v>135981</v>
      </c>
      <c r="C718" s="2" t="s">
        <v>366</v>
      </c>
      <c r="G718" s="2">
        <v>197166</v>
      </c>
    </row>
    <row r="719" spans="2:7" x14ac:dyDescent="0.25">
      <c r="B719" s="279">
        <v>135953</v>
      </c>
      <c r="C719" s="2" t="s">
        <v>367</v>
      </c>
      <c r="G719" s="2">
        <v>171745</v>
      </c>
    </row>
    <row r="720" spans="2:7" x14ac:dyDescent="0.25">
      <c r="B720" s="279">
        <v>136092</v>
      </c>
      <c r="C720" s="2" t="s">
        <v>368</v>
      </c>
      <c r="G720" s="2">
        <v>166194</v>
      </c>
    </row>
    <row r="721" spans="2:7" x14ac:dyDescent="0.25">
      <c r="B721" s="279">
        <v>137613</v>
      </c>
      <c r="C721" s="2" t="s">
        <v>369</v>
      </c>
      <c r="G721" s="2">
        <v>130205</v>
      </c>
    </row>
    <row r="722" spans="2:7" x14ac:dyDescent="0.25">
      <c r="B722" s="279">
        <v>136083</v>
      </c>
      <c r="C722" s="2" t="s">
        <v>370</v>
      </c>
      <c r="G722" s="2">
        <v>121935</v>
      </c>
    </row>
    <row r="723" spans="2:7" x14ac:dyDescent="0.25">
      <c r="B723" s="279">
        <v>135709</v>
      </c>
      <c r="C723" s="2" t="s">
        <v>371</v>
      </c>
      <c r="G723" s="2">
        <v>104675</v>
      </c>
    </row>
    <row r="724" spans="2:7" x14ac:dyDescent="0.25">
      <c r="B724" s="279">
        <v>135961</v>
      </c>
      <c r="C724" s="2" t="s">
        <v>372</v>
      </c>
      <c r="G724" s="2">
        <v>104176</v>
      </c>
    </row>
    <row r="725" spans="2:7" x14ac:dyDescent="0.25">
      <c r="B725" s="279">
        <v>135957</v>
      </c>
      <c r="C725" s="2" t="s">
        <v>373</v>
      </c>
      <c r="G725" s="2">
        <v>101378</v>
      </c>
    </row>
    <row r="726" spans="2:7" x14ac:dyDescent="0.25">
      <c r="B726" s="279">
        <v>135710</v>
      </c>
      <c r="C726" s="2" t="s">
        <v>374</v>
      </c>
      <c r="G726" s="2">
        <v>82568</v>
      </c>
    </row>
    <row r="727" spans="2:7" x14ac:dyDescent="0.25">
      <c r="B727" s="279">
        <v>135986</v>
      </c>
      <c r="C727" s="2" t="s">
        <v>375</v>
      </c>
      <c r="G727" s="2">
        <v>82040</v>
      </c>
    </row>
    <row r="728" spans="2:7" x14ac:dyDescent="0.25">
      <c r="B728" s="279">
        <v>135958</v>
      </c>
      <c r="C728" s="2" t="s">
        <v>376</v>
      </c>
      <c r="G728" s="2">
        <v>71637</v>
      </c>
    </row>
    <row r="729" spans="2:7" x14ac:dyDescent="0.25">
      <c r="B729" s="279">
        <v>136731</v>
      </c>
      <c r="C729" s="2" t="s">
        <v>377</v>
      </c>
      <c r="G729" s="2">
        <v>70474</v>
      </c>
    </row>
    <row r="730" spans="2:7" x14ac:dyDescent="0.25">
      <c r="B730" s="279">
        <v>136080</v>
      </c>
      <c r="C730" s="2" t="s">
        <v>378</v>
      </c>
      <c r="G730" s="2">
        <v>61952</v>
      </c>
    </row>
    <row r="731" spans="2:7" x14ac:dyDescent="0.25">
      <c r="B731" s="279">
        <v>135982</v>
      </c>
      <c r="C731" s="2" t="s">
        <v>379</v>
      </c>
      <c r="G731" s="2">
        <v>61844</v>
      </c>
    </row>
    <row r="732" spans="2:7" x14ac:dyDescent="0.25">
      <c r="B732" s="279">
        <v>17</v>
      </c>
      <c r="C732" s="2" t="s">
        <v>380</v>
      </c>
      <c r="G732" s="2">
        <v>59930</v>
      </c>
    </row>
    <row r="733" spans="2:7" x14ac:dyDescent="0.25">
      <c r="B733" s="279">
        <v>135991</v>
      </c>
      <c r="C733" s="2" t="s">
        <v>381</v>
      </c>
      <c r="G733" s="2">
        <v>59227</v>
      </c>
    </row>
    <row r="734" spans="2:7" x14ac:dyDescent="0.25">
      <c r="B734" s="279">
        <v>136740</v>
      </c>
      <c r="C734" s="2" t="s">
        <v>382</v>
      </c>
      <c r="G734" s="2">
        <v>47597</v>
      </c>
    </row>
    <row r="735" spans="2:7" x14ac:dyDescent="0.25">
      <c r="B735" s="279">
        <v>135992</v>
      </c>
      <c r="C735" s="2" t="s">
        <v>383</v>
      </c>
      <c r="G735" s="2">
        <v>47517</v>
      </c>
    </row>
    <row r="736" spans="2:7" x14ac:dyDescent="0.25">
      <c r="B736" s="279">
        <v>135966</v>
      </c>
      <c r="C736" s="2" t="s">
        <v>384</v>
      </c>
      <c r="G736" s="2">
        <v>46137</v>
      </c>
    </row>
    <row r="737" spans="2:7" x14ac:dyDescent="0.25">
      <c r="B737" s="279">
        <v>136085</v>
      </c>
      <c r="C737" s="2" t="s">
        <v>385</v>
      </c>
      <c r="G737" s="2">
        <v>42950</v>
      </c>
    </row>
    <row r="738" spans="2:7" x14ac:dyDescent="0.25">
      <c r="B738" s="279">
        <v>136094</v>
      </c>
      <c r="C738" s="2" t="s">
        <v>386</v>
      </c>
      <c r="G738" s="2">
        <v>42836</v>
      </c>
    </row>
    <row r="739" spans="2:7" x14ac:dyDescent="0.25">
      <c r="B739" s="279">
        <v>135985</v>
      </c>
      <c r="C739" s="2" t="s">
        <v>387</v>
      </c>
      <c r="G739" s="2">
        <v>40966</v>
      </c>
    </row>
    <row r="740" spans="2:7" x14ac:dyDescent="0.25">
      <c r="B740" s="279">
        <v>136095</v>
      </c>
      <c r="C740" s="2" t="s">
        <v>388</v>
      </c>
      <c r="G740" s="2">
        <v>40394</v>
      </c>
    </row>
    <row r="741" spans="2:7" x14ac:dyDescent="0.25">
      <c r="B741" s="279">
        <v>136081</v>
      </c>
      <c r="C741" s="2" t="s">
        <v>389</v>
      </c>
      <c r="G741" s="2">
        <v>40350</v>
      </c>
    </row>
    <row r="742" spans="2:7" x14ac:dyDescent="0.25">
      <c r="B742" s="279">
        <v>135963</v>
      </c>
      <c r="C742" s="2" t="s">
        <v>390</v>
      </c>
      <c r="G742" s="2">
        <v>40130</v>
      </c>
    </row>
    <row r="743" spans="2:7" x14ac:dyDescent="0.25">
      <c r="B743" s="279">
        <v>135964</v>
      </c>
      <c r="C743" s="2" t="s">
        <v>391</v>
      </c>
      <c r="G743" s="2">
        <v>36739</v>
      </c>
    </row>
    <row r="744" spans="2:7" x14ac:dyDescent="0.25">
      <c r="B744" s="279">
        <v>135965</v>
      </c>
      <c r="C744" s="2" t="s">
        <v>392</v>
      </c>
      <c r="G744" s="2">
        <v>36739</v>
      </c>
    </row>
    <row r="745" spans="2:7" x14ac:dyDescent="0.25">
      <c r="B745" s="279">
        <v>138150</v>
      </c>
      <c r="C745" s="2" t="s">
        <v>393</v>
      </c>
      <c r="G745" s="2">
        <v>36717</v>
      </c>
    </row>
    <row r="746" spans="2:7" x14ac:dyDescent="0.25">
      <c r="B746" s="279">
        <v>135959</v>
      </c>
      <c r="C746" s="2" t="s">
        <v>394</v>
      </c>
      <c r="G746" s="2">
        <v>36588</v>
      </c>
    </row>
    <row r="747" spans="2:7" x14ac:dyDescent="0.25">
      <c r="B747" s="279">
        <v>135950</v>
      </c>
      <c r="C747" s="2" t="s">
        <v>395</v>
      </c>
      <c r="G747" s="2">
        <v>36060</v>
      </c>
    </row>
    <row r="748" spans="2:7" x14ac:dyDescent="0.25">
      <c r="B748" s="279">
        <v>135960</v>
      </c>
      <c r="C748" s="2" t="s">
        <v>396</v>
      </c>
      <c r="G748" s="2">
        <v>35706</v>
      </c>
    </row>
    <row r="749" spans="2:7" x14ac:dyDescent="0.25">
      <c r="B749" s="279">
        <v>136084</v>
      </c>
      <c r="C749" s="2" t="s">
        <v>397</v>
      </c>
      <c r="G749" s="2">
        <v>34715</v>
      </c>
    </row>
    <row r="750" spans="2:7" x14ac:dyDescent="0.25">
      <c r="B750" s="279">
        <v>136086</v>
      </c>
      <c r="C750" s="2" t="s">
        <v>398</v>
      </c>
      <c r="G750" s="2">
        <v>33596</v>
      </c>
    </row>
    <row r="751" spans="2:7" x14ac:dyDescent="0.25">
      <c r="B751" s="279">
        <v>135972</v>
      </c>
      <c r="C751" s="2" t="s">
        <v>399</v>
      </c>
      <c r="G751" s="2">
        <v>31000</v>
      </c>
    </row>
    <row r="752" spans="2:7" x14ac:dyDescent="0.25">
      <c r="B752" s="279">
        <v>136097</v>
      </c>
      <c r="C752" s="2" t="s">
        <v>400</v>
      </c>
      <c r="G752" s="2">
        <v>30450</v>
      </c>
    </row>
    <row r="753" spans="2:7" x14ac:dyDescent="0.25">
      <c r="B753" s="279">
        <v>135756</v>
      </c>
      <c r="C753" s="2" t="s">
        <v>401</v>
      </c>
      <c r="G753" s="2">
        <v>28406</v>
      </c>
    </row>
    <row r="754" spans="2:7" x14ac:dyDescent="0.25">
      <c r="B754" s="279">
        <v>135967</v>
      </c>
      <c r="C754" s="2" t="s">
        <v>402</v>
      </c>
      <c r="G754" s="2">
        <v>27700</v>
      </c>
    </row>
    <row r="755" spans="2:7" x14ac:dyDescent="0.25">
      <c r="B755" s="279">
        <v>135968</v>
      </c>
      <c r="C755" s="2" t="s">
        <v>403</v>
      </c>
      <c r="G755" s="2">
        <v>27700</v>
      </c>
    </row>
    <row r="756" spans="2:7" x14ac:dyDescent="0.25">
      <c r="B756" s="279">
        <v>135969</v>
      </c>
      <c r="C756" s="2" t="s">
        <v>404</v>
      </c>
      <c r="G756" s="2">
        <v>27700</v>
      </c>
    </row>
    <row r="757" spans="2:7" x14ac:dyDescent="0.25">
      <c r="B757" s="279">
        <v>135994</v>
      </c>
      <c r="C757" s="2" t="s">
        <v>405</v>
      </c>
      <c r="G757" s="2">
        <v>27700</v>
      </c>
    </row>
    <row r="758" spans="2:7" x14ac:dyDescent="0.25">
      <c r="B758" s="279">
        <v>136087</v>
      </c>
      <c r="C758" s="2" t="s">
        <v>406</v>
      </c>
      <c r="G758" s="2">
        <v>27700</v>
      </c>
    </row>
    <row r="759" spans="2:7" x14ac:dyDescent="0.25">
      <c r="B759" s="279">
        <v>136724</v>
      </c>
      <c r="C759" s="2" t="s">
        <v>407</v>
      </c>
      <c r="G759" s="2">
        <v>27612</v>
      </c>
    </row>
    <row r="760" spans="2:7" x14ac:dyDescent="0.25">
      <c r="B760" s="279">
        <v>136079</v>
      </c>
      <c r="C760" s="2" t="s">
        <v>408</v>
      </c>
      <c r="G760" s="2">
        <v>27425</v>
      </c>
    </row>
    <row r="761" spans="2:7" x14ac:dyDescent="0.25">
      <c r="B761" s="279">
        <v>135984</v>
      </c>
      <c r="C761" s="2" t="s">
        <v>409</v>
      </c>
      <c r="G761" s="2">
        <v>24950</v>
      </c>
    </row>
    <row r="762" spans="2:7" x14ac:dyDescent="0.25">
      <c r="B762" s="279">
        <v>135956</v>
      </c>
      <c r="C762" s="2" t="s">
        <v>410</v>
      </c>
      <c r="G762" s="2">
        <v>19538</v>
      </c>
    </row>
    <row r="763" spans="2:7" x14ac:dyDescent="0.25">
      <c r="B763" s="279">
        <v>137195</v>
      </c>
      <c r="C763" s="2" t="s">
        <v>411</v>
      </c>
      <c r="G763" s="2">
        <v>11635</v>
      </c>
    </row>
    <row r="764" spans="2:7" x14ac:dyDescent="0.25">
      <c r="B764" s="279">
        <v>135987</v>
      </c>
      <c r="C764" s="2" t="s">
        <v>412</v>
      </c>
      <c r="G764" s="2">
        <v>4805</v>
      </c>
    </row>
    <row r="765" spans="2:7" x14ac:dyDescent="0.25">
      <c r="B765" s="279">
        <v>136726</v>
      </c>
      <c r="C765" s="2" t="s">
        <v>413</v>
      </c>
      <c r="G765" s="2">
        <v>3250</v>
      </c>
    </row>
    <row r="766" spans="2:7" x14ac:dyDescent="0.25">
      <c r="B766" s="279">
        <v>135980</v>
      </c>
      <c r="C766" s="2" t="s">
        <v>414</v>
      </c>
      <c r="G766" s="2">
        <v>2620</v>
      </c>
    </row>
    <row r="767" spans="2:7" x14ac:dyDescent="0.25">
      <c r="B767" s="279">
        <v>136091</v>
      </c>
      <c r="C767" s="2" t="s">
        <v>415</v>
      </c>
      <c r="G767" s="2">
        <v>2400</v>
      </c>
    </row>
    <row r="768" spans="2:7" x14ac:dyDescent="0.25">
      <c r="B768" s="279">
        <v>136089</v>
      </c>
      <c r="C768" s="2" t="s">
        <v>416</v>
      </c>
      <c r="G768" s="2">
        <v>1834</v>
      </c>
    </row>
    <row r="769" spans="2:7" x14ac:dyDescent="0.25">
      <c r="B769" s="279">
        <v>136093</v>
      </c>
      <c r="C769" s="2" t="s">
        <v>417</v>
      </c>
      <c r="G769" s="2">
        <v>1210</v>
      </c>
    </row>
    <row r="770" spans="2:7" x14ac:dyDescent="0.25">
      <c r="B770" s="279">
        <v>135989</v>
      </c>
      <c r="C770" s="2" t="s">
        <v>418</v>
      </c>
      <c r="G770" s="2">
        <v>1100</v>
      </c>
    </row>
    <row r="771" spans="2:7" x14ac:dyDescent="0.25">
      <c r="G771" s="2">
        <v>550</v>
      </c>
    </row>
  </sheetData>
  <mergeCells count="140">
    <mergeCell ref="B634:E634"/>
    <mergeCell ref="B635:E635"/>
    <mergeCell ref="B609:E609"/>
    <mergeCell ref="B616:C616"/>
    <mergeCell ref="B620:E620"/>
    <mergeCell ref="B621:E621"/>
    <mergeCell ref="B622:E622"/>
    <mergeCell ref="B628:C628"/>
    <mergeCell ref="B556:E556"/>
    <mergeCell ref="B568:C568"/>
    <mergeCell ref="B573:E573"/>
    <mergeCell ref="B581:C581"/>
    <mergeCell ref="B589:E589"/>
    <mergeCell ref="B603:C603"/>
    <mergeCell ref="B488:E488"/>
    <mergeCell ref="B514:E514"/>
    <mergeCell ref="B515:E515"/>
    <mergeCell ref="B529:C529"/>
    <mergeCell ref="B544:E544"/>
    <mergeCell ref="B551:C551"/>
    <mergeCell ref="B470:C470"/>
    <mergeCell ref="B475:E475"/>
    <mergeCell ref="B476:E476"/>
    <mergeCell ref="C478:D478"/>
    <mergeCell ref="B485:C485"/>
    <mergeCell ref="B487:E487"/>
    <mergeCell ref="B443:E443"/>
    <mergeCell ref="B452:C452"/>
    <mergeCell ref="B453:E453"/>
    <mergeCell ref="B461:E461"/>
    <mergeCell ref="B462:E462"/>
    <mergeCell ref="C464:D464"/>
    <mergeCell ref="B412:E412"/>
    <mergeCell ref="B419:C419"/>
    <mergeCell ref="B422:E422"/>
    <mergeCell ref="B423:E423"/>
    <mergeCell ref="B436:C436"/>
    <mergeCell ref="B442:E442"/>
    <mergeCell ref="B384:E384"/>
    <mergeCell ref="B387:E387"/>
    <mergeCell ref="B388:E388"/>
    <mergeCell ref="B394:C394"/>
    <mergeCell ref="B410:E410"/>
    <mergeCell ref="B411:E411"/>
    <mergeCell ref="B365:E365"/>
    <mergeCell ref="B372:E372"/>
    <mergeCell ref="B373:E373"/>
    <mergeCell ref="B374:E374"/>
    <mergeCell ref="B375:E375"/>
    <mergeCell ref="B383:C383"/>
    <mergeCell ref="B234:E234"/>
    <mergeCell ref="B235:E235"/>
    <mergeCell ref="B314:C314"/>
    <mergeCell ref="B355:E355"/>
    <mergeCell ref="B356:E356"/>
    <mergeCell ref="B363:C363"/>
    <mergeCell ref="B186:C186"/>
    <mergeCell ref="B191:E191"/>
    <mergeCell ref="B192:E192"/>
    <mergeCell ref="B211:C211"/>
    <mergeCell ref="B232:E232"/>
    <mergeCell ref="B233:E233"/>
    <mergeCell ref="B159:E159"/>
    <mergeCell ref="B160:E160"/>
    <mergeCell ref="B167:C167"/>
    <mergeCell ref="B169:E169"/>
    <mergeCell ref="B175:E175"/>
    <mergeCell ref="B176:E176"/>
    <mergeCell ref="B146:E146"/>
    <mergeCell ref="B147:E147"/>
    <mergeCell ref="B153:C153"/>
    <mergeCell ref="B155:E155"/>
    <mergeCell ref="B157:E157"/>
    <mergeCell ref="B158:E158"/>
    <mergeCell ref="B126:C126"/>
    <mergeCell ref="B133:E133"/>
    <mergeCell ref="B134:E134"/>
    <mergeCell ref="B135:E135"/>
    <mergeCell ref="B142:C142"/>
    <mergeCell ref="B145:E145"/>
    <mergeCell ref="B108:E108"/>
    <mergeCell ref="B109:E109"/>
    <mergeCell ref="B110:E110"/>
    <mergeCell ref="B111:E111"/>
    <mergeCell ref="B112:E112"/>
    <mergeCell ref="B113:E113"/>
    <mergeCell ref="B101:E101"/>
    <mergeCell ref="B102:E102"/>
    <mergeCell ref="B103:E103"/>
    <mergeCell ref="B104:E104"/>
    <mergeCell ref="B105:E105"/>
    <mergeCell ref="B106:E106"/>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03:D605 D568 D529 D485 D452 D383 D363:D364 D314 D211:D212 D394:D408 D470 D167 D153 D436 D142:D143 D551:D553 D419:D420 D366:D370 D126:D131">
    <cfRule type="expression" priority="2" stopIfTrue="1">
      <formula>"$E$165&gt;=1,¨Aumento¨"</formula>
    </cfRule>
  </conditionalFormatting>
  <conditionalFormatting sqref="D581">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2024-12-13T13:57:45Z</dcterms:created>
  <dcterms:modified xsi:type="dcterms:W3CDTF">2024-12-13T13:59:12Z</dcterms:modified>
</cp:coreProperties>
</file>