
<file path=[Content_Types].xml><?xml version="1.0" encoding="utf-8"?>
<Types xmlns="http://schemas.openxmlformats.org/package/2006/content-type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45" windowWidth="18915" windowHeight="11580"/>
  </bookViews>
  <sheets>
    <sheet name="Inventario de Articulos" sheetId="5" r:id="rId1"/>
    <sheet name="Nota Explicativa " sheetId="1" r:id="rId2"/>
    <sheet name="Balance Proveedores " sheetId="4" r:id="rId3"/>
  </sheets>
  <externalReferences>
    <externalReference r:id="rId4"/>
  </externalReferences>
  <definedNames>
    <definedName name="_Toc208202813" localSheetId="1">'Nota Explicativa '!$B$112</definedName>
  </definedNames>
  <calcPr calcId="145621"/>
</workbook>
</file>

<file path=xl/calcChain.xml><?xml version="1.0" encoding="utf-8"?>
<calcChain xmlns="http://schemas.openxmlformats.org/spreadsheetml/2006/main">
  <c r="G548" i="5" l="1"/>
  <c r="H546" i="5"/>
  <c r="H545" i="5"/>
  <c r="H544" i="5"/>
  <c r="H543" i="5"/>
  <c r="H542" i="5"/>
  <c r="H541" i="5"/>
  <c r="H540" i="5"/>
  <c r="H539" i="5"/>
  <c r="H538" i="5"/>
  <c r="H537" i="5"/>
  <c r="H536" i="5"/>
  <c r="H535" i="5"/>
  <c r="H534" i="5"/>
  <c r="H533" i="5"/>
  <c r="H532" i="5"/>
  <c r="H531" i="5"/>
  <c r="H530" i="5"/>
  <c r="H529" i="5"/>
  <c r="H528" i="5"/>
  <c r="H527" i="5"/>
  <c r="H526" i="5"/>
  <c r="H525" i="5"/>
  <c r="H524" i="5"/>
  <c r="H523" i="5"/>
  <c r="H522" i="5"/>
  <c r="H521" i="5"/>
  <c r="H520" i="5"/>
  <c r="H519" i="5"/>
  <c r="H518" i="5"/>
  <c r="H517" i="5"/>
  <c r="H516" i="5"/>
  <c r="H515" i="5"/>
  <c r="H514" i="5"/>
  <c r="H513" i="5"/>
  <c r="H512" i="5"/>
  <c r="H511" i="5"/>
  <c r="H510" i="5"/>
  <c r="H509" i="5"/>
  <c r="H508" i="5"/>
  <c r="H507" i="5"/>
  <c r="H506" i="5"/>
  <c r="H505" i="5"/>
  <c r="H504" i="5"/>
  <c r="H503" i="5"/>
  <c r="H502" i="5"/>
  <c r="H501" i="5"/>
  <c r="H500" i="5"/>
  <c r="H499" i="5"/>
  <c r="H498" i="5"/>
  <c r="H497" i="5"/>
  <c r="H496" i="5"/>
  <c r="H495" i="5"/>
  <c r="H494" i="5"/>
  <c r="H493" i="5"/>
  <c r="H492" i="5"/>
  <c r="H491" i="5"/>
  <c r="H490" i="5"/>
  <c r="H489" i="5"/>
  <c r="H488" i="5"/>
  <c r="H487" i="5"/>
  <c r="H486" i="5"/>
  <c r="H485" i="5"/>
  <c r="H484" i="5"/>
  <c r="H483" i="5"/>
  <c r="H482" i="5"/>
  <c r="H481" i="5"/>
  <c r="H480" i="5"/>
  <c r="H479" i="5"/>
  <c r="H478" i="5"/>
  <c r="H477" i="5"/>
  <c r="H476" i="5"/>
  <c r="H475" i="5"/>
  <c r="H474" i="5"/>
  <c r="H473" i="5"/>
  <c r="H472" i="5"/>
  <c r="H471" i="5"/>
  <c r="H470" i="5"/>
  <c r="H469" i="5"/>
  <c r="H468" i="5"/>
  <c r="H467" i="5"/>
  <c r="H466" i="5"/>
  <c r="H465" i="5"/>
  <c r="H464" i="5"/>
  <c r="H463" i="5"/>
  <c r="H462" i="5"/>
  <c r="H461" i="5"/>
  <c r="H460" i="5"/>
  <c r="H459" i="5"/>
  <c r="H458" i="5"/>
  <c r="H457" i="5"/>
  <c r="H456" i="5"/>
  <c r="H455" i="5"/>
  <c r="H454" i="5"/>
  <c r="H453" i="5"/>
  <c r="H452" i="5"/>
  <c r="H451" i="5"/>
  <c r="H450" i="5"/>
  <c r="H449" i="5"/>
  <c r="H448" i="5"/>
  <c r="H447" i="5"/>
  <c r="H446" i="5"/>
  <c r="H445" i="5"/>
  <c r="H444" i="5"/>
  <c r="H443" i="5"/>
  <c r="H442" i="5"/>
  <c r="H441" i="5"/>
  <c r="H440" i="5"/>
  <c r="H439" i="5"/>
  <c r="H438" i="5"/>
  <c r="H437" i="5"/>
  <c r="H436" i="5"/>
  <c r="H435" i="5"/>
  <c r="H434" i="5"/>
  <c r="H433" i="5"/>
  <c r="H432" i="5"/>
  <c r="H431" i="5"/>
  <c r="H430" i="5"/>
  <c r="H429" i="5"/>
  <c r="H428" i="5"/>
  <c r="H427" i="5"/>
  <c r="H426" i="5"/>
  <c r="H425" i="5"/>
  <c r="H424" i="5"/>
  <c r="H423" i="5"/>
  <c r="H422" i="5"/>
  <c r="H421" i="5"/>
  <c r="H420" i="5"/>
  <c r="H419" i="5"/>
  <c r="H418" i="5"/>
  <c r="H417" i="5"/>
  <c r="H416" i="5"/>
  <c r="H415" i="5"/>
  <c r="H414" i="5"/>
  <c r="H413" i="5"/>
  <c r="H412" i="5"/>
  <c r="H411" i="5"/>
  <c r="H410" i="5"/>
  <c r="H409" i="5"/>
  <c r="H408" i="5"/>
  <c r="H407" i="5"/>
  <c r="H406" i="5"/>
  <c r="H405" i="5"/>
  <c r="H404" i="5"/>
  <c r="H403" i="5"/>
  <c r="H402" i="5"/>
  <c r="H401" i="5"/>
  <c r="H400" i="5"/>
  <c r="H399" i="5"/>
  <c r="H398" i="5"/>
  <c r="H397" i="5"/>
  <c r="H396" i="5"/>
  <c r="H395" i="5"/>
  <c r="H394" i="5"/>
  <c r="H393" i="5"/>
  <c r="H391" i="5"/>
  <c r="H390" i="5"/>
  <c r="H389" i="5"/>
  <c r="H388" i="5"/>
  <c r="H387" i="5"/>
  <c r="H386" i="5"/>
  <c r="H385" i="5"/>
  <c r="H384" i="5"/>
  <c r="H383" i="5"/>
  <c r="H382" i="5"/>
  <c r="H381" i="5"/>
  <c r="H380" i="5"/>
  <c r="H379" i="5"/>
  <c r="H378" i="5"/>
  <c r="H377" i="5"/>
  <c r="H376" i="5"/>
  <c r="H375" i="5"/>
  <c r="H374" i="5"/>
  <c r="H373" i="5"/>
  <c r="H372" i="5"/>
  <c r="H371" i="5"/>
  <c r="H370" i="5"/>
  <c r="H369" i="5"/>
  <c r="H368" i="5"/>
  <c r="H367" i="5"/>
  <c r="H366" i="5"/>
  <c r="H365" i="5"/>
  <c r="H364" i="5"/>
  <c r="H363" i="5"/>
  <c r="H362" i="5"/>
  <c r="H361" i="5"/>
  <c r="H360" i="5"/>
  <c r="H359" i="5"/>
  <c r="H358" i="5"/>
  <c r="H357" i="5"/>
  <c r="H356" i="5"/>
  <c r="H355" i="5"/>
  <c r="H354" i="5"/>
  <c r="H353" i="5"/>
  <c r="H352" i="5"/>
  <c r="H351" i="5"/>
  <c r="H350" i="5"/>
  <c r="H349" i="5"/>
  <c r="H348" i="5"/>
  <c r="H347" i="5"/>
  <c r="H346" i="5"/>
  <c r="H345" i="5"/>
  <c r="H344" i="5"/>
  <c r="H343" i="5"/>
  <c r="H342" i="5"/>
  <c r="H341" i="5"/>
  <c r="H340" i="5"/>
  <c r="H339" i="5"/>
  <c r="H338" i="5"/>
  <c r="H337" i="5"/>
  <c r="H336" i="5"/>
  <c r="H335" i="5"/>
  <c r="H334" i="5"/>
  <c r="H333" i="5"/>
  <c r="H332" i="5"/>
  <c r="H331" i="5"/>
  <c r="H330" i="5"/>
  <c r="H329" i="5"/>
  <c r="H328" i="5"/>
  <c r="H327" i="5"/>
  <c r="H326" i="5"/>
  <c r="H325" i="5"/>
  <c r="H324" i="5"/>
  <c r="H323" i="5"/>
  <c r="H322" i="5"/>
  <c r="H321" i="5"/>
  <c r="H320" i="5"/>
  <c r="H319" i="5"/>
  <c r="H318" i="5"/>
  <c r="H317" i="5"/>
  <c r="H316" i="5"/>
  <c r="H315" i="5"/>
  <c r="H314" i="5"/>
  <c r="H313" i="5"/>
  <c r="H312" i="5"/>
  <c r="H311" i="5"/>
  <c r="H310" i="5"/>
  <c r="H309" i="5"/>
  <c r="H308" i="5"/>
  <c r="H307" i="5"/>
  <c r="H306" i="5"/>
  <c r="H305" i="5"/>
  <c r="H304" i="5"/>
  <c r="H303" i="5"/>
  <c r="H302" i="5"/>
  <c r="H301" i="5"/>
  <c r="H300" i="5"/>
  <c r="H299" i="5"/>
  <c r="H298" i="5"/>
  <c r="H297" i="5"/>
  <c r="H296" i="5"/>
  <c r="H295" i="5"/>
  <c r="H294" i="5"/>
  <c r="H293" i="5"/>
  <c r="H292" i="5"/>
  <c r="H291" i="5"/>
  <c r="H290" i="5"/>
  <c r="H289" i="5"/>
  <c r="H288" i="5"/>
  <c r="H287" i="5"/>
  <c r="H286" i="5"/>
  <c r="H285" i="5"/>
  <c r="H284" i="5"/>
  <c r="H283" i="5"/>
  <c r="H282" i="5"/>
  <c r="H281" i="5"/>
  <c r="H280" i="5"/>
  <c r="H279" i="5"/>
  <c r="H278" i="5"/>
  <c r="H277" i="5"/>
  <c r="H276" i="5"/>
  <c r="H275" i="5"/>
  <c r="H274" i="5"/>
  <c r="H273" i="5"/>
  <c r="H272" i="5"/>
  <c r="H271" i="5"/>
  <c r="H270" i="5"/>
  <c r="H269" i="5"/>
  <c r="H268" i="5"/>
  <c r="H267" i="5"/>
  <c r="H266" i="5"/>
  <c r="H265" i="5"/>
  <c r="H264" i="5"/>
  <c r="H263" i="5"/>
  <c r="H262" i="5"/>
  <c r="H261" i="5"/>
  <c r="H260" i="5"/>
  <c r="H259" i="5"/>
  <c r="H258" i="5"/>
  <c r="H257" i="5"/>
  <c r="H256" i="5"/>
  <c r="H255" i="5"/>
  <c r="H254" i="5"/>
  <c r="H253" i="5"/>
  <c r="H252" i="5"/>
  <c r="H251" i="5"/>
  <c r="H250" i="5"/>
  <c r="H249" i="5"/>
  <c r="H248" i="5"/>
  <c r="H247" i="5"/>
  <c r="H246" i="5"/>
  <c r="H245" i="5"/>
  <c r="H244" i="5"/>
  <c r="H243" i="5"/>
  <c r="H242" i="5"/>
  <c r="H241" i="5"/>
  <c r="H240" i="5"/>
  <c r="H239" i="5"/>
  <c r="H238" i="5"/>
  <c r="H237" i="5"/>
  <c r="H236" i="5"/>
  <c r="H235" i="5"/>
  <c r="H234" i="5"/>
  <c r="H233" i="5"/>
  <c r="H232" i="5"/>
  <c r="H231" i="5"/>
  <c r="H230" i="5"/>
  <c r="H229" i="5"/>
  <c r="H228" i="5"/>
  <c r="H227" i="5"/>
  <c r="H226" i="5"/>
  <c r="H225" i="5"/>
  <c r="H224" i="5"/>
  <c r="H223" i="5"/>
  <c r="H222" i="5"/>
  <c r="H221" i="5"/>
  <c r="H220" i="5"/>
  <c r="H219" i="5"/>
  <c r="H218" i="5"/>
  <c r="H217" i="5"/>
  <c r="H216" i="5"/>
  <c r="H215" i="5"/>
  <c r="H214" i="5"/>
  <c r="H213" i="5"/>
  <c r="H212" i="5"/>
  <c r="H211" i="5"/>
  <c r="H210" i="5"/>
  <c r="H209" i="5"/>
  <c r="H208" i="5"/>
  <c r="H207" i="5"/>
  <c r="H206" i="5"/>
  <c r="H205" i="5"/>
  <c r="H204" i="5"/>
  <c r="H203" i="5"/>
  <c r="H202" i="5"/>
  <c r="H201" i="5"/>
  <c r="H200" i="5"/>
  <c r="H199" i="5"/>
  <c r="H198" i="5"/>
  <c r="H197" i="5"/>
  <c r="H196" i="5"/>
  <c r="H195" i="5"/>
  <c r="H194" i="5"/>
  <c r="H193" i="5"/>
  <c r="H192" i="5"/>
  <c r="H191" i="5"/>
  <c r="H190" i="5"/>
  <c r="H189" i="5"/>
  <c r="H188" i="5"/>
  <c r="H187" i="5"/>
  <c r="H186" i="5"/>
  <c r="H185" i="5"/>
  <c r="H184" i="5"/>
  <c r="H183" i="5"/>
  <c r="H182" i="5"/>
  <c r="H181" i="5"/>
  <c r="H180" i="5"/>
  <c r="H179" i="5"/>
  <c r="H178" i="5"/>
  <c r="H177" i="5"/>
  <c r="H176" i="5"/>
  <c r="H175" i="5"/>
  <c r="H174" i="5"/>
  <c r="H173" i="5"/>
  <c r="H172" i="5"/>
  <c r="H171" i="5"/>
  <c r="H170" i="5"/>
  <c r="H169" i="5"/>
  <c r="H168" i="5"/>
  <c r="H167" i="5"/>
  <c r="H166" i="5"/>
  <c r="H165" i="5"/>
  <c r="H164" i="5"/>
  <c r="H163" i="5"/>
  <c r="H162" i="5"/>
  <c r="H161" i="5"/>
  <c r="H160" i="5"/>
  <c r="H159" i="5"/>
  <c r="H158" i="5"/>
  <c r="H157" i="5"/>
  <c r="H156" i="5"/>
  <c r="H155" i="5"/>
  <c r="H154" i="5"/>
  <c r="H153" i="5"/>
  <c r="H152" i="5"/>
  <c r="H151" i="5"/>
  <c r="H150" i="5"/>
  <c r="H149" i="5"/>
  <c r="H148" i="5"/>
  <c r="H147" i="5"/>
  <c r="H146" i="5"/>
  <c r="H145" i="5"/>
  <c r="H144" i="5"/>
  <c r="H143" i="5"/>
  <c r="H142" i="5"/>
  <c r="H141" i="5"/>
  <c r="H140" i="5"/>
  <c r="H139" i="5"/>
  <c r="H138" i="5"/>
  <c r="H137" i="5"/>
  <c r="H136" i="5"/>
  <c r="H135" i="5"/>
  <c r="H134" i="5"/>
  <c r="H133" i="5"/>
  <c r="H132" i="5"/>
  <c r="H131" i="5"/>
  <c r="H130" i="5"/>
  <c r="H129" i="5"/>
  <c r="H128" i="5"/>
  <c r="H127" i="5"/>
  <c r="H126" i="5"/>
  <c r="H125" i="5"/>
  <c r="H124" i="5"/>
  <c r="H123" i="5"/>
  <c r="H122" i="5"/>
  <c r="H121" i="5"/>
  <c r="H120" i="5"/>
  <c r="H119" i="5"/>
  <c r="H118" i="5"/>
  <c r="H117" i="5"/>
  <c r="H116" i="5"/>
  <c r="H115" i="5"/>
  <c r="H114" i="5"/>
  <c r="H113" i="5"/>
  <c r="H112" i="5"/>
  <c r="H111" i="5"/>
  <c r="H110" i="5"/>
  <c r="H109" i="5"/>
  <c r="H108" i="5"/>
  <c r="H107" i="5"/>
  <c r="H106" i="5"/>
  <c r="H105" i="5"/>
  <c r="H104" i="5"/>
  <c r="H103" i="5"/>
  <c r="H102" i="5"/>
  <c r="H101" i="5"/>
  <c r="H100" i="5"/>
  <c r="H99" i="5"/>
  <c r="H98" i="5"/>
  <c r="H97" i="5"/>
  <c r="H96" i="5"/>
  <c r="H95" i="5"/>
  <c r="H94" i="5"/>
  <c r="H93" i="5"/>
  <c r="H92" i="5"/>
  <c r="H91" i="5"/>
  <c r="H90" i="5"/>
  <c r="H89" i="5"/>
  <c r="H88" i="5"/>
  <c r="H87" i="5"/>
  <c r="H86" i="5"/>
  <c r="H85" i="5"/>
  <c r="H84" i="5"/>
  <c r="H83" i="5"/>
  <c r="H82" i="5"/>
  <c r="H81" i="5"/>
  <c r="H80" i="5"/>
  <c r="H79" i="5"/>
  <c r="H78" i="5"/>
  <c r="H77" i="5"/>
  <c r="H76" i="5"/>
  <c r="H75" i="5"/>
  <c r="H74" i="5"/>
  <c r="H73" i="5"/>
  <c r="H72" i="5"/>
  <c r="H71" i="5"/>
  <c r="H70" i="5"/>
  <c r="H69" i="5"/>
  <c r="H68" i="5"/>
  <c r="H67" i="5"/>
  <c r="H66" i="5"/>
  <c r="H65" i="5"/>
  <c r="H64" i="5"/>
  <c r="H63" i="5"/>
  <c r="H62" i="5"/>
  <c r="H61" i="5"/>
  <c r="H60" i="5"/>
  <c r="H59" i="5"/>
  <c r="H58" i="5"/>
  <c r="H57" i="5"/>
  <c r="H56" i="5"/>
  <c r="H55" i="5"/>
  <c r="H54" i="5"/>
  <c r="H53" i="5"/>
  <c r="H52" i="5"/>
  <c r="H51" i="5"/>
  <c r="H50" i="5"/>
  <c r="H49" i="5"/>
  <c r="H48" i="5"/>
  <c r="H47" i="5"/>
  <c r="H46" i="5"/>
  <c r="H45" i="5"/>
  <c r="H44" i="5"/>
  <c r="H43" i="5"/>
  <c r="H42" i="5"/>
  <c r="H41" i="5"/>
  <c r="H40" i="5"/>
  <c r="H39" i="5"/>
  <c r="H38" i="5"/>
  <c r="H37" i="5"/>
  <c r="H36" i="5"/>
  <c r="H35" i="5"/>
  <c r="H34" i="5"/>
  <c r="H33" i="5"/>
  <c r="H32" i="5"/>
  <c r="H31" i="5"/>
  <c r="H30" i="5"/>
  <c r="H29" i="5"/>
  <c r="H28" i="5"/>
  <c r="H27" i="5"/>
  <c r="H26" i="5"/>
  <c r="H25" i="5"/>
  <c r="H24" i="5"/>
  <c r="H23" i="5"/>
  <c r="H22" i="5"/>
  <c r="H21" i="5"/>
  <c r="H20" i="5"/>
  <c r="H19" i="5"/>
  <c r="H18" i="5"/>
  <c r="H17" i="5"/>
  <c r="H16" i="5"/>
  <c r="H15" i="5"/>
  <c r="H14" i="5"/>
  <c r="H13" i="5"/>
  <c r="H12" i="5"/>
  <c r="H11" i="5"/>
  <c r="H10" i="5"/>
  <c r="H9" i="5"/>
  <c r="H8" i="5"/>
  <c r="H7" i="5"/>
  <c r="H548" i="5" s="1"/>
  <c r="C661" i="1" l="1"/>
  <c r="D655" i="1"/>
  <c r="D661" i="1" s="1"/>
  <c r="D654" i="1"/>
  <c r="D651" i="1"/>
  <c r="C651" i="1"/>
  <c r="C654" i="1" s="1"/>
  <c r="C662" i="1" s="1"/>
  <c r="C636" i="1" s="1"/>
  <c r="B646" i="1"/>
  <c r="E635" i="1"/>
  <c r="D635" i="1"/>
  <c r="C635" i="1"/>
  <c r="B634" i="1"/>
  <c r="B647" i="1" s="1"/>
  <c r="B631" i="1"/>
  <c r="D624" i="1"/>
  <c r="C624" i="1"/>
  <c r="D623" i="1"/>
  <c r="C623" i="1"/>
  <c r="B622" i="1"/>
  <c r="B620" i="1"/>
  <c r="D611" i="1"/>
  <c r="C611" i="1"/>
  <c r="D610" i="1"/>
  <c r="C610" i="1"/>
  <c r="D609" i="1"/>
  <c r="C609" i="1"/>
  <c r="D608" i="1"/>
  <c r="G608" i="1" s="1"/>
  <c r="C608" i="1"/>
  <c r="D607" i="1"/>
  <c r="C607" i="1"/>
  <c r="D606" i="1"/>
  <c r="C606" i="1"/>
  <c r="E606" i="1" s="1"/>
  <c r="D605" i="1"/>
  <c r="C605" i="1"/>
  <c r="D604" i="1"/>
  <c r="C604" i="1"/>
  <c r="D603" i="1"/>
  <c r="C603" i="1"/>
  <c r="D602" i="1"/>
  <c r="D622" i="1" s="1"/>
  <c r="D634" i="1" s="1"/>
  <c r="D647" i="1" s="1"/>
  <c r="C602" i="1"/>
  <c r="C622" i="1" s="1"/>
  <c r="C634" i="1" s="1"/>
  <c r="B600" i="1"/>
  <c r="E589" i="1"/>
  <c r="C588" i="1"/>
  <c r="D587" i="1"/>
  <c r="C587" i="1"/>
  <c r="D586" i="1"/>
  <c r="C586" i="1"/>
  <c r="B584" i="1"/>
  <c r="D576" i="1"/>
  <c r="C576" i="1"/>
  <c r="D575" i="1"/>
  <c r="C575" i="1"/>
  <c r="D574" i="1"/>
  <c r="AA574" i="1" s="1"/>
  <c r="C574" i="1"/>
  <c r="D573" i="1"/>
  <c r="AA573" i="1" s="1"/>
  <c r="C573" i="1"/>
  <c r="D572" i="1"/>
  <c r="AA572" i="1" s="1"/>
  <c r="C572" i="1"/>
  <c r="D571" i="1"/>
  <c r="AA571" i="1" s="1"/>
  <c r="C571" i="1"/>
  <c r="D570" i="1"/>
  <c r="C570" i="1"/>
  <c r="D569" i="1"/>
  <c r="C569" i="1"/>
  <c r="C557" i="1" s="1"/>
  <c r="B567" i="1"/>
  <c r="D558" i="1"/>
  <c r="D560" i="1" s="1"/>
  <c r="C558" i="1"/>
  <c r="D557" i="1"/>
  <c r="B555" i="1"/>
  <c r="D544" i="1"/>
  <c r="C544" i="1"/>
  <c r="D543" i="1"/>
  <c r="C543" i="1"/>
  <c r="E543" i="1" s="1"/>
  <c r="D542" i="1"/>
  <c r="C542" i="1"/>
  <c r="D541" i="1"/>
  <c r="C541" i="1"/>
  <c r="D540" i="1"/>
  <c r="C540" i="1"/>
  <c r="D539" i="1"/>
  <c r="C539" i="1"/>
  <c r="D538" i="1"/>
  <c r="C538" i="1"/>
  <c r="D537" i="1"/>
  <c r="C537" i="1"/>
  <c r="E537" i="1" s="1"/>
  <c r="D536" i="1"/>
  <c r="C536" i="1"/>
  <c r="J535" i="1"/>
  <c r="D535" i="1"/>
  <c r="D545" i="1" s="1"/>
  <c r="C535" i="1"/>
  <c r="L534" i="1"/>
  <c r="L536" i="1" s="1"/>
  <c r="K534" i="1"/>
  <c r="D534" i="1"/>
  <c r="C534" i="1"/>
  <c r="B534" i="1"/>
  <c r="L533" i="1"/>
  <c r="L532" i="1"/>
  <c r="K532" i="1"/>
  <c r="B532" i="1"/>
  <c r="K531" i="1"/>
  <c r="K530" i="1"/>
  <c r="E522" i="1"/>
  <c r="D522" i="1"/>
  <c r="C522" i="1"/>
  <c r="E521" i="1"/>
  <c r="D521" i="1"/>
  <c r="C521" i="1"/>
  <c r="E520" i="1"/>
  <c r="D520" i="1"/>
  <c r="C520" i="1"/>
  <c r="E519" i="1"/>
  <c r="D519" i="1"/>
  <c r="C519" i="1"/>
  <c r="E518" i="1"/>
  <c r="D518" i="1"/>
  <c r="C518" i="1"/>
  <c r="E517" i="1"/>
  <c r="D517" i="1"/>
  <c r="C517" i="1"/>
  <c r="E516" i="1"/>
  <c r="D516" i="1"/>
  <c r="C516" i="1"/>
  <c r="E515" i="1"/>
  <c r="D515" i="1"/>
  <c r="C515" i="1"/>
  <c r="E514" i="1"/>
  <c r="D514" i="1"/>
  <c r="C514" i="1"/>
  <c r="E513" i="1"/>
  <c r="D513" i="1"/>
  <c r="C513" i="1"/>
  <c r="E512" i="1"/>
  <c r="D512" i="1"/>
  <c r="C512" i="1"/>
  <c r="E511" i="1"/>
  <c r="D511" i="1"/>
  <c r="C511" i="1"/>
  <c r="C523" i="1" s="1"/>
  <c r="S505" i="1"/>
  <c r="T505" i="1" s="1"/>
  <c r="S504" i="1"/>
  <c r="W504" i="1" s="1"/>
  <c r="S503" i="1"/>
  <c r="T503" i="1" s="1"/>
  <c r="S502" i="1"/>
  <c r="U502" i="1" s="1"/>
  <c r="V501" i="1"/>
  <c r="U501" i="1"/>
  <c r="T501" i="1"/>
  <c r="S501" i="1"/>
  <c r="R501" i="1"/>
  <c r="V500" i="1"/>
  <c r="U500" i="1"/>
  <c r="T500" i="1"/>
  <c r="S500" i="1"/>
  <c r="R500" i="1" s="1"/>
  <c r="N498" i="1"/>
  <c r="E496" i="1"/>
  <c r="N495" i="1"/>
  <c r="C495" i="1"/>
  <c r="S495" i="1" s="1"/>
  <c r="C494" i="1"/>
  <c r="T494" i="1" s="1"/>
  <c r="D493" i="1"/>
  <c r="V499" i="1" s="1"/>
  <c r="C493" i="1"/>
  <c r="C497" i="1" s="1"/>
  <c r="W492" i="1"/>
  <c r="V492" i="1"/>
  <c r="U492" i="1"/>
  <c r="T492" i="1"/>
  <c r="S492" i="1"/>
  <c r="R492" i="1"/>
  <c r="D492" i="1"/>
  <c r="B489" i="1" s="1"/>
  <c r="C492" i="1"/>
  <c r="B501" i="1" s="1"/>
  <c r="B491" i="1"/>
  <c r="B487" i="1"/>
  <c r="E479" i="1"/>
  <c r="D479" i="1"/>
  <c r="D478" i="1" s="1"/>
  <c r="D480" i="1" s="1"/>
  <c r="C478" i="1"/>
  <c r="B473" i="1"/>
  <c r="AA463" i="1"/>
  <c r="X463" i="1"/>
  <c r="AA462" i="1"/>
  <c r="D461" i="1"/>
  <c r="C459" i="1" s="1"/>
  <c r="E459" i="1" s="1"/>
  <c r="C461" i="1"/>
  <c r="E461" i="1" s="1"/>
  <c r="C460" i="1"/>
  <c r="E460" i="1" s="1"/>
  <c r="D458" i="1"/>
  <c r="C458" i="1"/>
  <c r="D457" i="1"/>
  <c r="C457" i="1"/>
  <c r="B454" i="1"/>
  <c r="D448" i="1"/>
  <c r="AA447" i="1"/>
  <c r="Y447" i="1"/>
  <c r="X447" i="1"/>
  <c r="W447" i="1"/>
  <c r="AA446" i="1"/>
  <c r="D445" i="1"/>
  <c r="C445" i="1"/>
  <c r="D444" i="1"/>
  <c r="C444" i="1"/>
  <c r="D443" i="1"/>
  <c r="C443" i="1"/>
  <c r="D442" i="1"/>
  <c r="C442" i="1"/>
  <c r="D441" i="1"/>
  <c r="C441" i="1"/>
  <c r="D440" i="1"/>
  <c r="C440" i="1"/>
  <c r="D439" i="1"/>
  <c r="C439" i="1"/>
  <c r="B434" i="1"/>
  <c r="D427" i="1"/>
  <c r="C427" i="1"/>
  <c r="D426" i="1"/>
  <c r="C426" i="1"/>
  <c r="B422" i="1"/>
  <c r="D404" i="1"/>
  <c r="D405" i="1" s="1"/>
  <c r="C404" i="1"/>
  <c r="K393" i="1"/>
  <c r="D393" i="1"/>
  <c r="C393" i="1"/>
  <c r="C392" i="1"/>
  <c r="D391" i="1"/>
  <c r="D390" i="1"/>
  <c r="C390" i="1"/>
  <c r="B386" i="1"/>
  <c r="D374" i="1"/>
  <c r="D373" i="1"/>
  <c r="D588" i="1" s="1"/>
  <c r="E588" i="1" s="1"/>
  <c r="C373" i="1"/>
  <c r="E372" i="1"/>
  <c r="D371" i="1"/>
  <c r="D165" i="1" s="1"/>
  <c r="D194" i="1" s="1"/>
  <c r="C371" i="1"/>
  <c r="C165" i="1" s="1"/>
  <c r="C194" i="1" s="1"/>
  <c r="B368" i="1"/>
  <c r="E324" i="1"/>
  <c r="D324" i="1"/>
  <c r="C324" i="1"/>
  <c r="E321" i="1"/>
  <c r="D320" i="1"/>
  <c r="D322" i="1" s="1"/>
  <c r="C320" i="1"/>
  <c r="C322" i="1" s="1"/>
  <c r="E319" i="1"/>
  <c r="E318" i="1"/>
  <c r="E320" i="1" s="1"/>
  <c r="E322" i="1" s="1"/>
  <c r="E317" i="1"/>
  <c r="E314" i="1"/>
  <c r="E313" i="1"/>
  <c r="E315" i="1" s="1"/>
  <c r="D313" i="1"/>
  <c r="D315" i="1" s="1"/>
  <c r="C313" i="1"/>
  <c r="C315" i="1" s="1"/>
  <c r="E312" i="1"/>
  <c r="E311" i="1"/>
  <c r="E309" i="1"/>
  <c r="F308" i="1"/>
  <c r="C306" i="1"/>
  <c r="C305" i="1"/>
  <c r="D303" i="1"/>
  <c r="C303" i="1"/>
  <c r="B303" i="1"/>
  <c r="D302" i="1"/>
  <c r="C302" i="1"/>
  <c r="B299" i="1"/>
  <c r="B306" i="1" s="1"/>
  <c r="E297" i="1"/>
  <c r="D296" i="1"/>
  <c r="C296" i="1"/>
  <c r="D295" i="1"/>
  <c r="C295" i="1"/>
  <c r="E295" i="1" s="1"/>
  <c r="E292" i="1"/>
  <c r="D291" i="1"/>
  <c r="D293" i="1" s="1"/>
  <c r="C291" i="1"/>
  <c r="C293" i="1" s="1"/>
  <c r="E290" i="1"/>
  <c r="E289" i="1"/>
  <c r="E288" i="1"/>
  <c r="C284" i="1"/>
  <c r="C283" i="1"/>
  <c r="E282" i="1"/>
  <c r="D281" i="1"/>
  <c r="C281" i="1" s="1"/>
  <c r="E277" i="1"/>
  <c r="C275" i="1"/>
  <c r="B275" i="1"/>
  <c r="B284" i="1" s="1"/>
  <c r="E273" i="1"/>
  <c r="D272" i="1"/>
  <c r="D271" i="1" s="1"/>
  <c r="B272" i="1"/>
  <c r="B281" i="1" s="1"/>
  <c r="B296" i="1" s="1"/>
  <c r="C271" i="1"/>
  <c r="C276" i="1" s="1"/>
  <c r="C278" i="1" s="1"/>
  <c r="B271" i="1"/>
  <c r="B280" i="1" s="1"/>
  <c r="B295" i="1" s="1"/>
  <c r="B302" i="1" s="1"/>
  <c r="E268" i="1"/>
  <c r="C266" i="1"/>
  <c r="B266" i="1"/>
  <c r="C265" i="1"/>
  <c r="B265" i="1"/>
  <c r="B274" i="1" s="1"/>
  <c r="B283" i="1" s="1"/>
  <c r="B298" i="1" s="1"/>
  <c r="B305" i="1" s="1"/>
  <c r="E264" i="1"/>
  <c r="B264" i="1"/>
  <c r="B273" i="1" s="1"/>
  <c r="B282" i="1" s="1"/>
  <c r="B297" i="1" s="1"/>
  <c r="B304" i="1" s="1"/>
  <c r="D263" i="1"/>
  <c r="E263" i="1" s="1"/>
  <c r="B263" i="1"/>
  <c r="D262" i="1"/>
  <c r="C262" i="1"/>
  <c r="E262" i="1" s="1"/>
  <c r="B262" i="1"/>
  <c r="E259" i="1"/>
  <c r="C257" i="1"/>
  <c r="C256" i="1"/>
  <c r="E255" i="1"/>
  <c r="D253" i="1"/>
  <c r="D258" i="1" s="1"/>
  <c r="D260" i="1" s="1"/>
  <c r="D250" i="1"/>
  <c r="C250" i="1"/>
  <c r="B249" i="1"/>
  <c r="B246" i="1"/>
  <c r="D226" i="1"/>
  <c r="C225" i="1"/>
  <c r="E224" i="1"/>
  <c r="E220" i="1"/>
  <c r="E218" i="1"/>
  <c r="E217" i="1"/>
  <c r="E216" i="1"/>
  <c r="E215" i="1"/>
  <c r="E214" i="1"/>
  <c r="E213" i="1"/>
  <c r="E212" i="1"/>
  <c r="E221" i="1" s="1"/>
  <c r="D225" i="1" s="1"/>
  <c r="B207" i="1"/>
  <c r="D199" i="1"/>
  <c r="C199" i="1"/>
  <c r="C200" i="1" s="1"/>
  <c r="D197" i="1"/>
  <c r="C197" i="1"/>
  <c r="D196" i="1"/>
  <c r="B191" i="1"/>
  <c r="D167" i="1"/>
  <c r="C167" i="1"/>
  <c r="D166" i="1"/>
  <c r="C166" i="1"/>
  <c r="B162" i="1"/>
  <c r="D153" i="1"/>
  <c r="D154" i="1" s="1"/>
  <c r="C153" i="1"/>
  <c r="B149" i="1"/>
  <c r="D142" i="1"/>
  <c r="U143" i="1" s="1"/>
  <c r="C142" i="1"/>
  <c r="C143" i="1" s="1"/>
  <c r="D141" i="1"/>
  <c r="C141" i="1"/>
  <c r="E141" i="1" s="1"/>
  <c r="D140" i="1"/>
  <c r="C140" i="1"/>
  <c r="B137" i="1"/>
  <c r="B400" i="1" s="1"/>
  <c r="X128" i="1"/>
  <c r="D126" i="1"/>
  <c r="C126" i="1"/>
  <c r="D125" i="1"/>
  <c r="C125" i="1"/>
  <c r="E125" i="1" s="1"/>
  <c r="D124" i="1"/>
  <c r="C124" i="1"/>
  <c r="D123" i="1"/>
  <c r="C123" i="1"/>
  <c r="D122" i="1"/>
  <c r="C122" i="1"/>
  <c r="D121" i="1"/>
  <c r="C121" i="1"/>
  <c r="D120" i="1"/>
  <c r="C120" i="1"/>
  <c r="D119" i="1"/>
  <c r="C119" i="1"/>
  <c r="D118" i="1"/>
  <c r="B228" i="1" s="1"/>
  <c r="C118" i="1"/>
  <c r="B113" i="1"/>
  <c r="B14" i="1"/>
  <c r="E120" i="1" l="1"/>
  <c r="E607" i="1"/>
  <c r="E197" i="1"/>
  <c r="E441" i="1"/>
  <c r="E445" i="1"/>
  <c r="D462" i="1"/>
  <c r="U463" i="1" s="1"/>
  <c r="D151" i="1"/>
  <c r="D223" i="1" s="1"/>
  <c r="E296" i="1"/>
  <c r="E609" i="1"/>
  <c r="E611" i="1"/>
  <c r="E444" i="1"/>
  <c r="E558" i="1"/>
  <c r="E303" i="1"/>
  <c r="E271" i="1"/>
  <c r="E276" i="1" s="1"/>
  <c r="E278" i="1" s="1"/>
  <c r="E302" i="1"/>
  <c r="E121" i="1"/>
  <c r="E272" i="1"/>
  <c r="T504" i="1"/>
  <c r="E536" i="1"/>
  <c r="E538" i="1"/>
  <c r="E540" i="1"/>
  <c r="E542" i="1"/>
  <c r="C560" i="1"/>
  <c r="C561" i="1" s="1"/>
  <c r="E576" i="1"/>
  <c r="C612" i="1"/>
  <c r="C613" i="1" s="1"/>
  <c r="D625" i="1"/>
  <c r="D300" i="1"/>
  <c r="D394" i="1"/>
  <c r="T395" i="1" s="1"/>
  <c r="B431" i="1"/>
  <c r="C168" i="1"/>
  <c r="C169" i="1" s="1"/>
  <c r="D429" i="1"/>
  <c r="E494" i="1"/>
  <c r="E539" i="1"/>
  <c r="E541" i="1"/>
  <c r="E544" i="1"/>
  <c r="E427" i="1"/>
  <c r="S494" i="1"/>
  <c r="E560" i="1"/>
  <c r="E562" i="1" s="1"/>
  <c r="D562" i="1" s="1"/>
  <c r="E575" i="1"/>
  <c r="E281" i="1"/>
  <c r="C280" i="1"/>
  <c r="C285" i="1" s="1"/>
  <c r="C287" i="1" s="1"/>
  <c r="C144" i="1"/>
  <c r="S143" i="1"/>
  <c r="T200" i="1"/>
  <c r="U200" i="1"/>
  <c r="D577" i="1"/>
  <c r="E122" i="1"/>
  <c r="C151" i="1"/>
  <c r="C223" i="1" s="1"/>
  <c r="B156" i="1"/>
  <c r="E167" i="1"/>
  <c r="E267" i="1"/>
  <c r="E269" i="1" s="1"/>
  <c r="D280" i="1"/>
  <c r="D285" i="1" s="1"/>
  <c r="D287" i="1" s="1"/>
  <c r="E393" i="1"/>
  <c r="E440" i="1"/>
  <c r="E442" i="1"/>
  <c r="V493" i="1"/>
  <c r="U494" i="1"/>
  <c r="U495" i="1"/>
  <c r="U499" i="1"/>
  <c r="T502" i="1"/>
  <c r="U504" i="1"/>
  <c r="D523" i="1"/>
  <c r="C526" i="1" s="1"/>
  <c r="E571" i="1"/>
  <c r="E573" i="1"/>
  <c r="C590" i="1"/>
  <c r="C591" i="1" s="1"/>
  <c r="D612" i="1"/>
  <c r="E605" i="1"/>
  <c r="E608" i="1"/>
  <c r="C625" i="1"/>
  <c r="C626" i="1" s="1"/>
  <c r="D127" i="1"/>
  <c r="W128" i="1" s="1"/>
  <c r="D267" i="1"/>
  <c r="D269" i="1" s="1"/>
  <c r="B327" i="1"/>
  <c r="B376" i="1"/>
  <c r="C446" i="1"/>
  <c r="V446" i="1" s="1"/>
  <c r="E493" i="1"/>
  <c r="V494" i="1"/>
  <c r="V495" i="1"/>
  <c r="V504" i="1"/>
  <c r="E523" i="1"/>
  <c r="C525" i="1" s="1"/>
  <c r="E603" i="1"/>
  <c r="E610" i="1"/>
  <c r="U493" i="1"/>
  <c r="E123" i="1"/>
  <c r="E142" i="1"/>
  <c r="E143" i="1" s="1"/>
  <c r="U144" i="1" s="1"/>
  <c r="B145" i="1"/>
  <c r="E153" i="1"/>
  <c r="C429" i="1"/>
  <c r="D446" i="1"/>
  <c r="T447" i="1" s="1"/>
  <c r="T493" i="1"/>
  <c r="C545" i="1"/>
  <c r="E547" i="1" s="1"/>
  <c r="D547" i="1" s="1"/>
  <c r="E570" i="1"/>
  <c r="E572" i="1"/>
  <c r="E574" i="1"/>
  <c r="E604" i="1"/>
  <c r="E624" i="1"/>
  <c r="C477" i="1"/>
  <c r="C403" i="1"/>
  <c r="S168" i="1"/>
  <c r="T227" i="1"/>
  <c r="S227" i="1"/>
  <c r="R227" i="1" s="1"/>
  <c r="V227" i="1"/>
  <c r="C480" i="1"/>
  <c r="E478" i="1"/>
  <c r="E480" i="1" s="1"/>
  <c r="E482" i="1" s="1"/>
  <c r="D482" i="1" s="1"/>
  <c r="U155" i="1"/>
  <c r="T155" i="1"/>
  <c r="S155" i="1"/>
  <c r="E222" i="1"/>
  <c r="C374" i="1"/>
  <c r="E373" i="1"/>
  <c r="E374" i="1" s="1"/>
  <c r="E376" i="1" s="1"/>
  <c r="U395" i="1"/>
  <c r="V395" i="1"/>
  <c r="C405" i="1"/>
  <c r="E404" i="1"/>
  <c r="E405" i="1" s="1"/>
  <c r="E407" i="1" s="1"/>
  <c r="D407" i="1" s="1"/>
  <c r="E124" i="1"/>
  <c r="D200" i="1"/>
  <c r="D195" i="1"/>
  <c r="C195" i="1"/>
  <c r="E199" i="1"/>
  <c r="D227" i="1"/>
  <c r="E300" i="1"/>
  <c r="E291" i="1"/>
  <c r="E293" i="1" s="1"/>
  <c r="C307" i="1"/>
  <c r="E392" i="1"/>
  <c r="C391" i="1"/>
  <c r="C425" i="1"/>
  <c r="C127" i="1"/>
  <c r="E119" i="1"/>
  <c r="D168" i="1"/>
  <c r="E166" i="1"/>
  <c r="E168" i="1" s="1"/>
  <c r="C226" i="1"/>
  <c r="E225" i="1"/>
  <c r="E226" i="1" s="1"/>
  <c r="E228" i="1" s="1"/>
  <c r="D228" i="1" s="1"/>
  <c r="U227" i="1"/>
  <c r="U375" i="1"/>
  <c r="T375" i="1"/>
  <c r="S375" i="1"/>
  <c r="S395" i="1"/>
  <c r="C447" i="1"/>
  <c r="D477" i="1"/>
  <c r="D425" i="1"/>
  <c r="D438" i="1" s="1"/>
  <c r="D403" i="1"/>
  <c r="D143" i="1"/>
  <c r="T143" i="1"/>
  <c r="R143" i="1" s="1"/>
  <c r="C201" i="1"/>
  <c r="C253" i="1"/>
  <c r="C267" i="1"/>
  <c r="C269" i="1" s="1"/>
  <c r="D276" i="1"/>
  <c r="D278" i="1" s="1"/>
  <c r="C300" i="1"/>
  <c r="K390" i="1"/>
  <c r="U429" i="1"/>
  <c r="E443" i="1"/>
  <c r="U481" i="1"/>
  <c r="S481" i="1"/>
  <c r="V481" i="1"/>
  <c r="T481" i="1"/>
  <c r="D662" i="1"/>
  <c r="D636" i="1" s="1"/>
  <c r="E636" i="1" s="1"/>
  <c r="E637" i="1" s="1"/>
  <c r="S200" i="1"/>
  <c r="R200" i="1" s="1"/>
  <c r="B202" i="1"/>
  <c r="D307" i="1"/>
  <c r="D308" i="1" s="1"/>
  <c r="S430" i="1"/>
  <c r="T430" i="1"/>
  <c r="C462" i="1"/>
  <c r="V497" i="1"/>
  <c r="U497" i="1"/>
  <c r="T497" i="1"/>
  <c r="C498" i="1"/>
  <c r="S497" i="1"/>
  <c r="D590" i="1"/>
  <c r="D591" i="1" s="1"/>
  <c r="C647" i="1"/>
  <c r="B562" i="1"/>
  <c r="B464" i="1"/>
  <c r="B592" i="1"/>
  <c r="B547" i="1"/>
  <c r="B627" i="1"/>
  <c r="B482" i="1"/>
  <c r="B639" i="1"/>
  <c r="B614" i="1"/>
  <c r="B579" i="1"/>
  <c r="B499" i="1"/>
  <c r="B448" i="1"/>
  <c r="B129" i="1"/>
  <c r="C152" i="1"/>
  <c r="B170" i="1"/>
  <c r="B396" i="1"/>
  <c r="E426" i="1"/>
  <c r="E429" i="1" s="1"/>
  <c r="E431" i="1" s="1"/>
  <c r="D431" i="1" s="1"/>
  <c r="U430" i="1"/>
  <c r="E439" i="1"/>
  <c r="V463" i="1"/>
  <c r="T463" i="1"/>
  <c r="W463" i="1"/>
  <c r="S463" i="1"/>
  <c r="D463" i="1"/>
  <c r="E577" i="1"/>
  <c r="E579" i="1" s="1"/>
  <c r="D579" i="1" s="1"/>
  <c r="C637" i="1"/>
  <c r="S493" i="1"/>
  <c r="E495" i="1"/>
  <c r="E497" i="1" s="1"/>
  <c r="T495" i="1"/>
  <c r="R495" i="1" s="1"/>
  <c r="S499" i="1"/>
  <c r="V502" i="1"/>
  <c r="R502" i="1" s="1"/>
  <c r="U503" i="1"/>
  <c r="U505" i="1"/>
  <c r="E535" i="1"/>
  <c r="E545" i="1" s="1"/>
  <c r="AA570" i="1"/>
  <c r="AA575" i="1"/>
  <c r="C577" i="1"/>
  <c r="C578" i="1" s="1"/>
  <c r="E587" i="1"/>
  <c r="E590" i="1" s="1"/>
  <c r="E592" i="1" s="1"/>
  <c r="D592" i="1" s="1"/>
  <c r="D497" i="1"/>
  <c r="T499" i="1"/>
  <c r="V503" i="1"/>
  <c r="V505" i="1"/>
  <c r="E623" i="1"/>
  <c r="E625" i="1" s="1"/>
  <c r="E627" i="1" s="1"/>
  <c r="D627" i="1" s="1"/>
  <c r="W503" i="1"/>
  <c r="E458" i="1"/>
  <c r="E462" i="1" s="1"/>
  <c r="E464" i="1" s="1"/>
  <c r="D464" i="1" s="1"/>
  <c r="R493" i="1" l="1"/>
  <c r="C546" i="1"/>
  <c r="C450" i="1"/>
  <c r="U168" i="1"/>
  <c r="U128" i="1"/>
  <c r="T446" i="1"/>
  <c r="V168" i="1"/>
  <c r="AB446" i="1"/>
  <c r="T168" i="1"/>
  <c r="T128" i="1"/>
  <c r="R494" i="1"/>
  <c r="E170" i="1"/>
  <c r="D170" i="1" s="1"/>
  <c r="D450" i="1"/>
  <c r="C430" i="1"/>
  <c r="V429" i="1"/>
  <c r="U446" i="1"/>
  <c r="E127" i="1"/>
  <c r="E129" i="1" s="1"/>
  <c r="D129" i="1" s="1"/>
  <c r="V447" i="1"/>
  <c r="R504" i="1"/>
  <c r="E307" i="1"/>
  <c r="E308" i="1" s="1"/>
  <c r="E310" i="1" s="1"/>
  <c r="AB447" i="1"/>
  <c r="E280" i="1"/>
  <c r="E285" i="1" s="1"/>
  <c r="E287" i="1" s="1"/>
  <c r="R429" i="1"/>
  <c r="R395" i="1"/>
  <c r="R503" i="1"/>
  <c r="R505" i="1"/>
  <c r="V128" i="1"/>
  <c r="E612" i="1"/>
  <c r="E614" i="1" s="1"/>
  <c r="D614" i="1" s="1"/>
  <c r="E499" i="1"/>
  <c r="D499" i="1" s="1"/>
  <c r="R430" i="1"/>
  <c r="V498" i="1"/>
  <c r="U498" i="1"/>
  <c r="T498" i="1"/>
  <c r="D498" i="1"/>
  <c r="S498" i="1"/>
  <c r="R463" i="1"/>
  <c r="E446" i="1"/>
  <c r="E450" i="1" s="1"/>
  <c r="W462" i="1"/>
  <c r="S462" i="1"/>
  <c r="C463" i="1"/>
  <c r="U462" i="1"/>
  <c r="T462" i="1"/>
  <c r="V462" i="1"/>
  <c r="R481" i="1"/>
  <c r="D637" i="1"/>
  <c r="R375" i="1"/>
  <c r="S169" i="1"/>
  <c r="V169" i="1"/>
  <c r="U169" i="1"/>
  <c r="T169" i="1"/>
  <c r="C438" i="1"/>
  <c r="C196" i="1"/>
  <c r="E196" i="1" s="1"/>
  <c r="E195" i="1"/>
  <c r="R168" i="1"/>
  <c r="B401" i="1"/>
  <c r="R499" i="1"/>
  <c r="B488" i="1" s="1"/>
  <c r="T144" i="1"/>
  <c r="S144" i="1"/>
  <c r="E391" i="1"/>
  <c r="E394" i="1" s="1"/>
  <c r="E396" i="1" s="1"/>
  <c r="D396" i="1" s="1"/>
  <c r="C394" i="1"/>
  <c r="R155" i="1"/>
  <c r="C481" i="1"/>
  <c r="S480" i="1"/>
  <c r="U480" i="1"/>
  <c r="T480" i="1"/>
  <c r="V480" i="1"/>
  <c r="E145" i="1"/>
  <c r="D145" i="1" s="1"/>
  <c r="S637" i="1"/>
  <c r="R637" i="1" s="1"/>
  <c r="V637" i="1"/>
  <c r="U637" i="1"/>
  <c r="T637" i="1"/>
  <c r="E152" i="1"/>
  <c r="E154" i="1" s="1"/>
  <c r="E156" i="1" s="1"/>
  <c r="D156" i="1" s="1"/>
  <c r="C154" i="1"/>
  <c r="E253" i="1"/>
  <c r="C227" i="1"/>
  <c r="S226" i="1"/>
  <c r="V226" i="1"/>
  <c r="U226" i="1"/>
  <c r="T226" i="1"/>
  <c r="C128" i="1"/>
  <c r="Y128" i="1" s="1"/>
  <c r="T127" i="1"/>
  <c r="W127" i="1"/>
  <c r="V127" i="1"/>
  <c r="U127" i="1"/>
  <c r="S201" i="1"/>
  <c r="U201" i="1"/>
  <c r="T201" i="1"/>
  <c r="E200" i="1"/>
  <c r="E202" i="1" s="1"/>
  <c r="D202" i="1" s="1"/>
  <c r="U374" i="1"/>
  <c r="S374" i="1"/>
  <c r="T374" i="1"/>
  <c r="R497" i="1"/>
  <c r="D325" i="1"/>
  <c r="D310" i="1"/>
  <c r="D323" i="1" s="1"/>
  <c r="C308" i="1"/>
  <c r="R446" i="1" l="1"/>
  <c r="R128" i="1"/>
  <c r="R447" i="1"/>
  <c r="B502" i="1"/>
  <c r="R374" i="1"/>
  <c r="B369" i="1" s="1"/>
  <c r="B423" i="1"/>
  <c r="R226" i="1"/>
  <c r="B208" i="1" s="1"/>
  <c r="R498" i="1"/>
  <c r="C310" i="1"/>
  <c r="R480" i="1"/>
  <c r="B474" i="1" s="1"/>
  <c r="V154" i="1"/>
  <c r="U154" i="1"/>
  <c r="T154" i="1"/>
  <c r="S154" i="1"/>
  <c r="R144" i="1"/>
  <c r="B138" i="1" s="1"/>
  <c r="V638" i="1"/>
  <c r="U638" i="1"/>
  <c r="T638" i="1"/>
  <c r="S638" i="1"/>
  <c r="R638" i="1" s="1"/>
  <c r="B632" i="1" s="1"/>
  <c r="R201" i="1"/>
  <c r="B192" i="1" s="1"/>
  <c r="R127" i="1"/>
  <c r="B114" i="1" s="1"/>
  <c r="C254" i="1"/>
  <c r="V394" i="1"/>
  <c r="U394" i="1"/>
  <c r="T394" i="1"/>
  <c r="S394" i="1"/>
  <c r="B435" i="1"/>
  <c r="R169" i="1"/>
  <c r="B163" i="1" s="1"/>
  <c r="R462" i="1"/>
  <c r="B455" i="1" s="1"/>
  <c r="E639" i="1"/>
  <c r="D639" i="1" s="1"/>
  <c r="R154" i="1" l="1"/>
  <c r="B150" i="1" s="1"/>
  <c r="R394" i="1"/>
  <c r="B387" i="1" s="1"/>
  <c r="E254" i="1"/>
  <c r="E258" i="1" s="1"/>
  <c r="E260" i="1" s="1"/>
  <c r="E323" i="1" s="1"/>
  <c r="E325" i="1" s="1"/>
  <c r="E327" i="1" s="1"/>
  <c r="D327" i="1" s="1"/>
  <c r="C258" i="1"/>
  <c r="C260" i="1" s="1"/>
  <c r="C325" i="1" s="1"/>
  <c r="C323" i="1" l="1"/>
</calcChain>
</file>

<file path=xl/comments1.xml><?xml version="1.0" encoding="utf-8"?>
<comments xmlns="http://schemas.openxmlformats.org/spreadsheetml/2006/main">
  <authors>
    <author>JUAN J. SANCHEZ</author>
  </authors>
  <commentList>
    <comment ref="C392" authorId="0">
      <text>
        <r>
          <rPr>
            <b/>
            <sz val="9"/>
            <color indexed="81"/>
            <rFont val="Tahoma"/>
            <family val="2"/>
          </rPr>
          <t>JUAN J. SANCHEZ:</t>
        </r>
        <r>
          <rPr>
            <sz val="9"/>
            <color indexed="81"/>
            <rFont val="Tahoma"/>
            <family val="2"/>
          </rPr>
          <t xml:space="preserve">
ayuntamiento y edenorte
</t>
        </r>
      </text>
    </comment>
  </commentList>
</comments>
</file>

<file path=xl/sharedStrings.xml><?xml version="1.0" encoding="utf-8"?>
<sst xmlns="http://schemas.openxmlformats.org/spreadsheetml/2006/main" count="2672" uniqueCount="2075">
  <si>
    <t>PRINCIPALES PRINCIPIOS Y POLÍTICAS CONTABLES</t>
  </si>
  <si>
    <t>Nota #1</t>
  </si>
  <si>
    <t>Entidad Económica</t>
  </si>
  <si>
    <t>Corporación del Acueducto y Alcantarillado de Moca, CORAAMOCA.</t>
  </si>
  <si>
    <t xml:space="preserve">En  el año 1995,  mediante  el  Decreto  Núm. 121-95,  se  crea  e  integra,  con  función provisional, el Comité de Manejo del Acueducto de Moca, con  el  fin  de  manejar  sus instalaciones  y  dependencias,  mientras  se  aprobaba  y  promulgaba  la  Ley  para  la creación de un organismo autónomo para  la  administración,  operación  y  manejo  de dicho servicio público. Dos años más tarde, mediante la Ley Núm. 89-97 d/f 12 de marzo de 1997, considerando la importancia de asegurar el buen funcionamiento de las obras de ingeniería en proceso, así  como  la  planificación  de  su  desarrollo  futuro,    para  obtener  el  más  eficiente abastecimiento de agua potable, se crea la Corporación del Acueducto y  Alcantarillado de Moca  (CORAAMOCA)  como  una  entidad  pública  autónoma, con  personalidad jurídica, patrimonio propio, con el fin de administrar, operar y mantener el Acueducto y Alcantarillado  de  la  ciudad  de  Moca y de la Provincia Espaillat. </t>
  </si>
  <si>
    <t>NOMBRE</t>
  </si>
  <si>
    <t>CARGOS</t>
  </si>
  <si>
    <t>Reynaldo Constantino Méndez Sánchez</t>
  </si>
  <si>
    <t>Director General</t>
  </si>
  <si>
    <t>María Patricia  Almonte de Grullón</t>
  </si>
  <si>
    <t>Directora Administrativa Financiera</t>
  </si>
  <si>
    <t xml:space="preserve">Comarky Reyes </t>
  </si>
  <si>
    <t>Directora Recursos Humanos</t>
  </si>
  <si>
    <t>Julio  Henríquez Tejada</t>
  </si>
  <si>
    <t xml:space="preserve">Director Gerencia Técnica </t>
  </si>
  <si>
    <t>Rafael Evangelista Ulloa</t>
  </si>
  <si>
    <t>Director Comercial</t>
  </si>
  <si>
    <t>Joel Andrés Bautista Gómez</t>
  </si>
  <si>
    <t>Jurídico</t>
  </si>
  <si>
    <t>Humberto Antonio Hernandez</t>
  </si>
  <si>
    <t>Enc. Dpto Administrativa</t>
  </si>
  <si>
    <t>Nilo Cipriano Tavares Santiago</t>
  </si>
  <si>
    <t>Enc. de Tecnología</t>
  </si>
  <si>
    <t>Guillermina del Carmen Florentino</t>
  </si>
  <si>
    <t>Enc. Dpto Financiero</t>
  </si>
  <si>
    <t>Robinson Expedito Durán Barcacel</t>
  </si>
  <si>
    <t>Enc. RR PP</t>
  </si>
  <si>
    <t>Juan José Sánchez</t>
  </si>
  <si>
    <t>Enc. Control y Análisis</t>
  </si>
  <si>
    <t>Paula Maileny Morillo Arias</t>
  </si>
  <si>
    <t>Enc. Contabilidad</t>
  </si>
  <si>
    <t>Lucianny Pérez García</t>
  </si>
  <si>
    <t>Enc. Presupuesto</t>
  </si>
  <si>
    <t>Alex Ureña Badía</t>
  </si>
  <si>
    <t>Enc. Planta La Dura</t>
  </si>
  <si>
    <t>Marleny de Jesús Alberto</t>
  </si>
  <si>
    <t>Enc. Compras</t>
  </si>
  <si>
    <t xml:space="preserve">Nota #2 </t>
  </si>
  <si>
    <t xml:space="preserve">Base de presentación </t>
  </si>
  <si>
    <t>La formulación de los Estados Financieros, de los cuales  forman  parte  las  presentes Notas, se basan fundamentalmente, en la normativa contable emitida  por  la  Dirección General de Contabilidad Gubernamental, y hasta donde es posible su aplicación, en las Normas Internacionales de Contabilidad para el Sector Público (NICSP).</t>
  </si>
  <si>
    <t>La Institución presenta su presupuesto aprobado según la base contable de efectivo y los Estados Financieros sobre  la base de acumulación (o devengo) conforme a las estipulaciones de las NICESP 24 “Presentación de Información del Presupuesto en los Estados Financieros”.</t>
  </si>
  <si>
    <t>El presupuesto se aprueba según la base contable de efectivo siguiendo una clasificación de pago por funciones. El presupuesto ejecutado cubre el periodo fiscal que va desde el 1ro. de enero hasta el 31 de diciembre de 2024 y es incluido como información suplementaria en los Estados Financieros y sus Notas, aunque cabe señalar que las informaciones contenidas en los mismos,  corresponden al corte del mes.</t>
  </si>
  <si>
    <t>Nota # 3</t>
  </si>
  <si>
    <t xml:space="preserve">Moneda funcional y de presentación </t>
  </si>
  <si>
    <t>Los Estados Financieros están presentados en pesos dominicanos (RD$) moneda de curso legal en República Dominicana.</t>
  </si>
  <si>
    <t>Nota #4</t>
  </si>
  <si>
    <t>Uso de estimados y Juicios</t>
  </si>
  <si>
    <t>La preparación de los Estados Financieros de conformidad con las NICSP, requiere que la administración realice juicios estimaciones y supuestos que afectan la aplicación de las Políticas Contable y los montos de activos, pasivos, ingresos y gastos reportados. Los resultados reales pueden diferir de estas estimaciones.</t>
  </si>
  <si>
    <t>Las estimaciones y supuestos relevantes son revisados regularmente, las cuales son reconocidas prospectivamente.</t>
  </si>
  <si>
    <t>Juicios</t>
  </si>
  <si>
    <t>La información sobre juicios realizados en la aplicación de Políticas Contables que tienen el efecto más importante sobre los montos reconocidos en el Estado de Rendimientos Financiero se describe en la Nota referente a gastos generales y administrativos (alquileres de vehículo); se determina si un acuerdo contiene un arrendamiento y su clasificación.</t>
  </si>
  <si>
    <t>Supuesto e incertidumbre en las estimaciones</t>
  </si>
  <si>
    <t>La información sobre los supuestos e incertidumbre de estimación que tiene un riesgo significativo de resultar en un ajuste material en los años terminados el 31 de diciembre 2024 y 31de diciembre 2023 se incluye en la Nota referente a compromisos y contingencias; reconocimiento y medición de contingencias; supuestos claves relacionados con la probabilidad y magnitud de una salida de recursos económicos.</t>
  </si>
  <si>
    <t>Medición de los valores razonables.</t>
  </si>
  <si>
    <t>La entidad cuenta con un marco de control establecido en relación con el cálculo de los valores razonables y tiene la responsabilidad general por la supervisión de todas las mediciones significativas de este, incluyendo los de niveles 3.</t>
  </si>
  <si>
    <t>Cuando se mide el valor razonable de un activo o pasivo, la (nombre de la Institución que informa) utiliza siempre que sea posible, precios cotizados en un mercado activo.</t>
  </si>
  <si>
    <t>Si el mercado para un activo o pasivo no es activo, la entidad establecerá el valor razonable utilizando una técnica de valoración. Con ésta se busca establecer cuál será el precio de una transacción realizada a la fecha de medición.</t>
  </si>
  <si>
    <t>Los valores se clasifican en niveles distintos dentro de una jerarquía como sigue:</t>
  </si>
  <si>
    <t>Nivel 1: Precios (no-ajustados) en mercados activos para activos o pasivos idénticos,</t>
  </si>
  <si>
    <t>Nivel 2: Datos diferentes de los precios cotizados incluidos en el Nivel 1 que sean observados para el activo o pasivo, ya sea directa (precios) o indirectamente (derivados de los precios).</t>
  </si>
  <si>
    <t>Nivel 3: Datos para el activo o pasivo que no se basan en datos de mercados observables (variables no observables).</t>
  </si>
  <si>
    <t>Si las variables usadas para medir el valor razonable de un activo o pasivo pueden clasificarse en niveles distintos de la jerarquía del valor razonable, entonces la medición se clasifica en su totalidad en el mismo nivel de la jerarquía que la variable de nivel más bajo que sea significativa para la medición total.</t>
  </si>
  <si>
    <t>La (nombre de la Institución) reconoce las transferencias entre los niveles de la jerarquía del valor razonable al final del periodo sobre el que se informa durante el que ocurrió el cambio.</t>
  </si>
  <si>
    <t xml:space="preserve">Nota #5 Base de medición </t>
  </si>
  <si>
    <t>Los Estados Financieros se elaboran sobre la base del costo histórico, sin excepción, en la actualidad los terrenos y edificios están siendo valuados mediante tasaciones realizadas por un experto externo.</t>
  </si>
  <si>
    <t>Instrumentos Financieros</t>
  </si>
  <si>
    <t>Nota #6</t>
  </si>
  <si>
    <t>Resumen de Políticas Contables significativas</t>
  </si>
  <si>
    <t>Aquí se detalla todo lo relacionado con las principales Políticas Contables significativas como podría ser, sin que esta enumeración se considere limitativa.</t>
  </si>
  <si>
    <t>Activos y pasivos financieros no derivados – reconocimiento y baja en cuentas</t>
  </si>
  <si>
    <t>Las cuentas y partidas por cobrar y los otros activos y pasivos financieros,  son reconocidos en el momentos del devengado.</t>
  </si>
  <si>
    <t xml:space="preserve">Activos financieros no derivados – medición </t>
  </si>
  <si>
    <t>Son reconocidos a su valor razonable, más cualquier costo de transacción directamente atribuible o de alguna otra manera.</t>
  </si>
  <si>
    <t xml:space="preserve">Pasivos financieros no derivados – medición </t>
  </si>
  <si>
    <t>Son reconocidos a su valor razonable, menos cualquier costo de transacción directamente atribuible o de alguna otra manera.</t>
  </si>
  <si>
    <t>Inventarios de materiales de oficina</t>
  </si>
  <si>
    <t>La medición es al costo de adquisición.</t>
  </si>
  <si>
    <t>Propiedad, mobiliario y equipos</t>
  </si>
  <si>
    <t xml:space="preserve">Reconocimiento y medición </t>
  </si>
  <si>
    <t xml:space="preserve">Las inversiones en bienes de uso se valúan por su costo de adquisición, de construcción o por un valor equivalente (costo corriente) cuando se reciben sin contraprestación. El costo de adquisición incluye el precio neto pagado por los bienes, más todos los gastos necesarios para colocar el bien en lugar y condiciones de uso. </t>
  </si>
  <si>
    <t>Los costos de construcción incluyen  los  costos  directos e indirectos, incluyendo los costos de administración  de  la  obra,  incurridos  y  devengados  durante  el  período efectivo de la construcción.</t>
  </si>
  <si>
    <t>Los bienes recibidos en donación son contabilizados a valor razonable, representado por el importe de efectivo y otras partidas equivalentes, que debería pagarse  para  adquirirlo en las condiciones en que se encuentren.</t>
  </si>
  <si>
    <t>Los costos de mejoras, reparaciones mayores y rehabilitaciones que extienden la vida útil de los Bienes de Uso, se capitalizan en forma conjunta con el bien existente o por separado cuando ello sea aconsejable,  de  acuerdo  a  la  naturaleza  de la  operación realizada y del bien de que se trate.</t>
  </si>
  <si>
    <t xml:space="preserve">Los bienes inmuebles  son  contabilizados  de  acuerdo  a  la  última  valuación  fiscal conocida, y de no resultar factible su obtención, se recurrirá a su tasación. </t>
  </si>
  <si>
    <t>El método de cálculo para el registro  de  la  Depreciación  es  el  de  Línea  Recta, adoptado como método general aplicable a todo el Sector Público, a  los  fines de su consolidación. El uso de este método representa la distribución sistemática y racional del costo total de  cada  partida  del  activo  fijo  tangible, durante  el  período  de  su aprovechamiento económico, el mismo será aplicado a todos los  bienes  de  uso  de dominio público, con excepción de los terrenos.</t>
  </si>
  <si>
    <t>Reconocimiento de ingresos</t>
  </si>
  <si>
    <t xml:space="preserve">Nuestro sistema de Contabilidad de CORAAMOCA  registra  de  acuerdo  al  plan  de cuentas contables y a los procedimientos de registros adoptados y la ejecución de  los gastos autorizados en nuestros presupuestos imputados en las partidas presupuestales, de conformidad con las normas, criterios y momentos  contables  establecidos  por  la Dirección General de Contabilidad Gubernamental (DIGECOG). </t>
  </si>
  <si>
    <t xml:space="preserve">Las transacciones presupuestarias de gastos se registran en el sistema por el método de partida doble, reconociendo  la  obligación  o  gasto  devengado  y  pagado  o extinción de la obligación. Así mismo, las transacciones relativas a los ingresos se registran en la etapa percibida.    </t>
  </si>
  <si>
    <t xml:space="preserve">Impuesto sobre la renta </t>
  </si>
  <si>
    <t>Corporación del Acueducto y Alcantarillado de Moca (CORAAMOCA) es una entidad gubernamental sin fines de lucro está exenta de pagar impuesto sobre la renta, pero si funciona como agente de retención.</t>
  </si>
  <si>
    <t>Nota #7</t>
  </si>
  <si>
    <t>Efectivo y equivalentes de efectivo.</t>
  </si>
  <si>
    <t>En la institución hay seis caja chica , una para compras por valor de RD$80,000.00 y una para compras en la planta la dura por valor de RD$10,000.00, una para menudo por valor de RD$5,000.00 y tres en los centros de servicios a clientes de Cayetano Germosén, Gaspar Hernández y Veragua por valor de RD$5,000.00 cada uno. Los tres fondo de los centros que fueron asignados,  hace mas de 10 años que con los combios de encargados se perdieron.</t>
  </si>
  <si>
    <t>Hay dos cuentas en el sigef y tres cuentas institucional en el Banreservas</t>
  </si>
  <si>
    <t>DESCRIPCIÓN</t>
  </si>
  <si>
    <t>Diferencia</t>
  </si>
  <si>
    <t>EECTIVO EN CAJA</t>
  </si>
  <si>
    <t>EECTIVO EN CAJA CHICA</t>
  </si>
  <si>
    <t>RESERVAS CTA. 100011701025466 (Progeo)</t>
  </si>
  <si>
    <t>RESERVAS CTA. 100011701027264(Funcional)</t>
  </si>
  <si>
    <t>RESERVAS CTA.100011701024303 (plan de pensión)</t>
  </si>
  <si>
    <t>CUENTA  9604127870 (CUT)</t>
  </si>
  <si>
    <t>CUENTA  9995095001  (CUT)</t>
  </si>
  <si>
    <t xml:space="preserve"> CTA FONDO 100  0100255001 </t>
  </si>
  <si>
    <t>Total Efectivo y equivalentes de efectivo.</t>
  </si>
  <si>
    <t xml:space="preserve"> Nota #8</t>
  </si>
  <si>
    <t>Inversiones a corto plazo</t>
  </si>
  <si>
    <t>Inventarios de Mercancías</t>
  </si>
  <si>
    <t>Deposito a plazo fijo</t>
  </si>
  <si>
    <t>Total Inversiones a corto plazo</t>
  </si>
  <si>
    <t>Nota #8</t>
  </si>
  <si>
    <t>Cuentas por cobrar a corto plazo</t>
  </si>
  <si>
    <t xml:space="preserve"> </t>
  </si>
  <si>
    <t>Cuentas por Cobrar (transferencia del gobierno)</t>
  </si>
  <si>
    <t>Cuentas por Cobrar empleados</t>
  </si>
  <si>
    <t>Total Cuentas y Documentos por Cobrar</t>
  </si>
  <si>
    <t>Notas. El método que utilizamos en el caso de los ingresos es por lo percibido por tal motivo no incluimos la cuenta por cobrar cliente como activo y por ende esta fuera del patrimonio. La razón es que en el tiempo no hemos logrado tener índice de cobro del 100%. por lo que en nuestro sistema comercial la cuenta por cobrar no cuenta con un monto razonable. Con relación a la cuenta por cobrar empleados la institución anulara esta cuenta en el próximo periodo contable.</t>
  </si>
  <si>
    <t>Nota # 9</t>
  </si>
  <si>
    <t>Inventario</t>
  </si>
  <si>
    <t>Inventarios Materiales y suministros para consumo y prestación de servicios</t>
  </si>
  <si>
    <t>Total en Inventario</t>
  </si>
  <si>
    <t>Nota # 10</t>
  </si>
  <si>
    <t>Pagos anticipados</t>
  </si>
  <si>
    <t>Seguros bienes muebles balance inicial</t>
  </si>
  <si>
    <t>Adquisición de seguros</t>
  </si>
  <si>
    <t>Gasto por seguros consumido</t>
  </si>
  <si>
    <t>Seguros bienes muebles</t>
  </si>
  <si>
    <t>Total Pagos anticipados</t>
  </si>
  <si>
    <t>Nota # 11</t>
  </si>
  <si>
    <t>Otros activos corrientes</t>
  </si>
  <si>
    <t>Recibimos la autorizacion para ajustar esta partida, en este informe procederemos a la correcciones sugeridas.</t>
  </si>
  <si>
    <t>Centro de  Servicio al Cliente</t>
  </si>
  <si>
    <t>Doc. Sustento</t>
  </si>
  <si>
    <t>Deposito</t>
  </si>
  <si>
    <t>Valor</t>
  </si>
  <si>
    <t>JAMAO AL NORTE</t>
  </si>
  <si>
    <t>C00056565</t>
  </si>
  <si>
    <t>VERAGUA</t>
  </si>
  <si>
    <t>CK0064857</t>
  </si>
  <si>
    <t>JUAN LOPEZ</t>
  </si>
  <si>
    <t>CK0069795</t>
  </si>
  <si>
    <t>LAS LAGUNAS</t>
  </si>
  <si>
    <t>CK0069773</t>
  </si>
  <si>
    <t>CANCA LA REYNA</t>
  </si>
  <si>
    <t>C00047490</t>
  </si>
  <si>
    <t>VILLA TRINA</t>
  </si>
  <si>
    <t>CKC0077938</t>
  </si>
  <si>
    <t>HIGUERITO</t>
  </si>
  <si>
    <t>CKC0070977</t>
  </si>
  <si>
    <t>HINCHA</t>
  </si>
  <si>
    <t>CKC0071686</t>
  </si>
  <si>
    <t>TOTAL DE FIANZA</t>
  </si>
  <si>
    <t xml:space="preserve">Depósitos </t>
  </si>
  <si>
    <t>Total Otros activos corrientes</t>
  </si>
  <si>
    <t>Nota # 12</t>
  </si>
  <si>
    <t>Propiedad planta y equipo</t>
  </si>
  <si>
    <r>
      <t>L</t>
    </r>
    <r>
      <rPr>
        <sz val="11"/>
        <color indexed="8"/>
        <rFont val="Times New Roman"/>
        <family val="1"/>
      </rPr>
      <t>os balances de las cuentas de Propiedad planta y equipo están integrados por los valores históricos registrados.</t>
    </r>
  </si>
  <si>
    <t xml:space="preserve">La depreciación de los activos que ha establecido la DIGECOG es  el  método lineal, la  institución  realizo ajustes de  depreciación en el periodos 2023 para armonizar con bienes nacionales el valor en libro de los bienes mueble, los valores históricos iniciales es diferente en vista de que cuando se implemento el control de bienes en el SIAB no se  partió del valor en libro inicialmente. </t>
  </si>
  <si>
    <t>Ver matriz Anexo libro nota13</t>
  </si>
  <si>
    <t xml:space="preserve">DESCRIPCION </t>
  </si>
  <si>
    <t>ACTIVOS NO FINANCIEROS</t>
  </si>
  <si>
    <t xml:space="preserve">Maquinaria y Equipos de producción </t>
  </si>
  <si>
    <t xml:space="preserve">Costos de adquisición  </t>
  </si>
  <si>
    <t>Adiciones</t>
  </si>
  <si>
    <t>Retiros</t>
  </si>
  <si>
    <t>Depreciación Acumulada</t>
  </si>
  <si>
    <t>Depreciación del periodo</t>
  </si>
  <si>
    <t xml:space="preserve">TOTAL MAQUINARIAS Y EQUIPOS </t>
  </si>
  <si>
    <t>DEPRECIACION MAQUINARIAS Y EQUIPOS</t>
  </si>
  <si>
    <t>TOTAL DE MAQUINARIAS Y EQUIPOS MENOS DEPRECIACION</t>
  </si>
  <si>
    <t>EQUIPO DE TRANSPORTE, TRACCION Y ELEVACION</t>
  </si>
  <si>
    <t>TOTAL EQUIPO DE TRANSPORTE, TRACCION Y ELEVACION</t>
  </si>
  <si>
    <t>DEPRE. EQUIPO DE TRANSP., TRACCION Y ELEVACION</t>
  </si>
  <si>
    <t>TOTAL EQUIPO DE TRANSP., TRACCION Y ELEVACION MENOS DEPRE.</t>
  </si>
  <si>
    <t>EQUIPO DE COMUNICACIÓN Y SEÑALAMIENTO</t>
  </si>
  <si>
    <t>TOTAL EQUIPO DE COMUNICACIÓN Y SEÑALAMIENTO</t>
  </si>
  <si>
    <t>DEPRECIACION EQUIPO DE COM. Y SEÑALAMIENTO</t>
  </si>
  <si>
    <t>TOTAL DE EQUIPO DE COM. Y SEÑAL MENOS DEPRECIACION</t>
  </si>
  <si>
    <t>EQUIPO Y MUEBLES DE OFICINA</t>
  </si>
  <si>
    <t>TOTAL EQUIPO Y MUEBLES DE OFICINA</t>
  </si>
  <si>
    <t>DEPRECIACIONEQUIPO DE EQUIPO Y MUEBLES DE OFICINA</t>
  </si>
  <si>
    <t>TOTAL DE EQUIPO Y MUEBLES DE OFICINA MENOS DEPRE.</t>
  </si>
  <si>
    <t>CONSTRUCCIONES Y MEJORAS</t>
  </si>
  <si>
    <t>Obras Urbanísticas</t>
  </si>
  <si>
    <t>Obras Construcciones y Mejoras</t>
  </si>
  <si>
    <t>TOTAL CONSTRUCCIONES Y MEJORAS</t>
  </si>
  <si>
    <t>DEPRECIACION CONSTRUCCIONES Y MEJORAS</t>
  </si>
  <si>
    <t>TOTAL DE CONSTRUCCIONES Y MEJORAS MENOS DEPRE.</t>
  </si>
  <si>
    <t>Terreno</t>
  </si>
  <si>
    <t>TOTAL INMUEBLES</t>
  </si>
  <si>
    <t>Edificaciones</t>
  </si>
  <si>
    <t>TOTAL EDIFICACIONES</t>
  </si>
  <si>
    <t>DEPRECIACION INMUEBLES</t>
  </si>
  <si>
    <t>TOTAL DE INMUEBLES MENOS DEPRECIACION</t>
  </si>
  <si>
    <t>OTROS BIENES DE USO</t>
  </si>
  <si>
    <t>Supervisión e Inspección de Obras</t>
  </si>
  <si>
    <t>TOTAL OTROS BIENES DE USO</t>
  </si>
  <si>
    <t>DEPRECIACION OTROS BIENES DE USO</t>
  </si>
  <si>
    <t>TOTAL DE OTROS BIENES DE USO MENOS DEPRECIACION</t>
  </si>
  <si>
    <t>ACTIVOS INTANGIBLES</t>
  </si>
  <si>
    <t>Activo Intangible</t>
  </si>
  <si>
    <t>Licencias Informáticas</t>
  </si>
  <si>
    <t>Programas de Computación</t>
  </si>
  <si>
    <t>TOTAL ACTIVOS INTANGIBLES</t>
  </si>
  <si>
    <t>DEPRECIACIONACTIVOS INTANGIBLES</t>
  </si>
  <si>
    <t>TOTAL DE ACTIVOS INTANGIBLES MENOS DEPRECIACION</t>
  </si>
  <si>
    <t xml:space="preserve">TOTAL DE BIENES EN USO </t>
  </si>
  <si>
    <t>TOTAL DEPRECIACION ACUMULADA</t>
  </si>
  <si>
    <t>TOTAL ACTIVOS NO CORRIENTES</t>
  </si>
  <si>
    <t>Nota #  13</t>
  </si>
  <si>
    <t xml:space="preserve">Activos Intangible </t>
  </si>
  <si>
    <t>Programa informáticos (1 año)</t>
  </si>
  <si>
    <t>Amortización Programa informáticos</t>
  </si>
  <si>
    <t>Total</t>
  </si>
  <si>
    <t>Nota # 14</t>
  </si>
  <si>
    <t>Cuentas por pagar a corto plazo</t>
  </si>
  <si>
    <t xml:space="preserve"> ** Otras Cuentas por pagar están integrada por  Otro proveedores directo a pagar a corto plazo y  cuenta por pagar usos internos,  por cheques anulados  fuera de fecha que no ha sido reclamado.</t>
  </si>
  <si>
    <t xml:space="preserve">   </t>
  </si>
  <si>
    <t>Cuenta</t>
  </si>
  <si>
    <t>VARIACION</t>
  </si>
  <si>
    <t>Cuentas por pagar Suplidores (anexos)</t>
  </si>
  <si>
    <t>Cuentas por pagar Suplidores Gobierno (anexos)</t>
  </si>
  <si>
    <t>Otras Cuentas por pagar **</t>
  </si>
  <si>
    <t>Total Cuentas por pagar a corto plazo</t>
  </si>
  <si>
    <t>Relación de Cuentas por pagar a suplidores anexos</t>
  </si>
  <si>
    <t>Nota # 16 Préstamo a corto plazo</t>
  </si>
  <si>
    <t>Documentos por pagar</t>
  </si>
  <si>
    <t>TOTAL</t>
  </si>
  <si>
    <t>Cambio porcentual con relación al 2022</t>
  </si>
  <si>
    <t>Nota # 15</t>
  </si>
  <si>
    <t>Retenciones y Acumulaciones  por pagar</t>
  </si>
  <si>
    <t>Acumulaciones por pagar</t>
  </si>
  <si>
    <r>
      <t xml:space="preserve">Deducciones al personal </t>
    </r>
    <r>
      <rPr>
        <sz val="11"/>
        <color indexed="8"/>
        <rFont val="Times New Roman"/>
        <family val="1"/>
      </rPr>
      <t>(Histórico Antiguo PP)</t>
    </r>
  </si>
  <si>
    <t>Nomina por pagar</t>
  </si>
  <si>
    <t>Total Acumulaciones por pagar</t>
  </si>
  <si>
    <t>Retenciones por pagar</t>
  </si>
  <si>
    <t>Ret. Impos. Por Pagar Isr Ir-3</t>
  </si>
  <si>
    <t>Retenciones Por Pagar Dgii Acuerdos</t>
  </si>
  <si>
    <t>Ret Imposit Por Pagar Ir 17 (5%)</t>
  </si>
  <si>
    <t>Ret Imposit Por Pagar Ir 17 (10%)</t>
  </si>
  <si>
    <t>Ret Imposit Por Pagar Ir 17 10% Alquiler</t>
  </si>
  <si>
    <t>Ret. P/Seguro Complementario</t>
  </si>
  <si>
    <t>Ret Imposit Por Pagar Itbis</t>
  </si>
  <si>
    <t>Total Retenciones por pagar</t>
  </si>
  <si>
    <t>Total retenciones y acumulaciones</t>
  </si>
  <si>
    <t>Nota # 16</t>
  </si>
  <si>
    <t>Activos Netos/Patrimonio</t>
  </si>
  <si>
    <t>Capital</t>
  </si>
  <si>
    <t>Resultados acumulado</t>
  </si>
  <si>
    <t>Ajuste al Resultados periodo anterior</t>
  </si>
  <si>
    <t xml:space="preserve">Resultado Neto del Período </t>
  </si>
  <si>
    <t>Total Patrimonio Institucional</t>
  </si>
  <si>
    <t>El ajuste al resultado anterior se generó por anulaciones de cheques y otros ajustes.</t>
  </si>
  <si>
    <t>Nota # 17</t>
  </si>
  <si>
    <t>Ingresos por transacciones con contraprestaciones</t>
  </si>
  <si>
    <t>AÑOS</t>
  </si>
  <si>
    <t>Ventas de servicios de APS</t>
  </si>
  <si>
    <t>Ingresos recibidos por certificado financieros</t>
  </si>
  <si>
    <t>Total de Ingresos por transacciones con contraprestaciones</t>
  </si>
  <si>
    <t>Nota # 18</t>
  </si>
  <si>
    <t xml:space="preserve">Transferencias y donaciones </t>
  </si>
  <si>
    <t>Transferencias Recibidas:</t>
  </si>
  <si>
    <t>Transferencias de la Adm. Central: corriente</t>
  </si>
  <si>
    <t>Transferencias de la Adm. Central: capital</t>
  </si>
  <si>
    <t>Transferencias de la Adm. Central: energía no cortable</t>
  </si>
  <si>
    <t>Transferencias recibidas fuera de circuito</t>
  </si>
  <si>
    <t xml:space="preserve">Total de Transferencia y donaciones </t>
  </si>
  <si>
    <t>Corriente</t>
  </si>
  <si>
    <t>Energía no cortable</t>
  </si>
  <si>
    <t>Enero</t>
  </si>
  <si>
    <t>Febrero</t>
  </si>
  <si>
    <t>Marzo</t>
  </si>
  <si>
    <t>Abril</t>
  </si>
  <si>
    <t>Mayo</t>
  </si>
  <si>
    <t>Junio</t>
  </si>
  <si>
    <t>Julio</t>
  </si>
  <si>
    <t>Agosto</t>
  </si>
  <si>
    <t>Septiembre</t>
  </si>
  <si>
    <t>Octubre</t>
  </si>
  <si>
    <t>Noviembre</t>
  </si>
  <si>
    <t>Diciembre</t>
  </si>
  <si>
    <t>Total aportes corrientes 2025</t>
  </si>
  <si>
    <t>Total aportes de capital 2025</t>
  </si>
  <si>
    <t xml:space="preserve"> Nota # 19</t>
  </si>
  <si>
    <t>Sueldos, Salarios y beneficios a empleados</t>
  </si>
  <si>
    <t>Sueldos para cargos Fijos</t>
  </si>
  <si>
    <t>Sueldos personal temporero y contratado</t>
  </si>
  <si>
    <t>Sobresueldos (compensación por hora extraordinario ,compensación por resultado, prima de transp., incentivos por rendimiento)</t>
  </si>
  <si>
    <t>Jornales</t>
  </si>
  <si>
    <t>Dietas y Gastos de Representación</t>
  </si>
  <si>
    <t>Gratificaciones y Bonificaciones</t>
  </si>
  <si>
    <t xml:space="preserve"> Indemnización Laboral</t>
  </si>
  <si>
    <t>Contribución al seguro de salud</t>
  </si>
  <si>
    <t>Contribución al seguro pensión</t>
  </si>
  <si>
    <t>Contribución al seguro riesgo laboral</t>
  </si>
  <si>
    <t>Total Sueldos, Salarios y beneficios a empleados</t>
  </si>
  <si>
    <t>Nota # 20</t>
  </si>
  <si>
    <t>Subvenciones y otros pagos por transferencias</t>
  </si>
  <si>
    <t>PARTIDAS</t>
  </si>
  <si>
    <t xml:space="preserve">Transferencias al Sector Privado  </t>
  </si>
  <si>
    <t>Total Subvenciones y otros pagos por transferencias</t>
  </si>
  <si>
    <t>Nota # 21</t>
  </si>
  <si>
    <t>Suministro y materiales para consumo</t>
  </si>
  <si>
    <t>Alimentos y productos agroforestales</t>
  </si>
  <si>
    <t>Textiles y vestuarios</t>
  </si>
  <si>
    <t xml:space="preserve">Productos de papel, cartón e impresos   </t>
  </si>
  <si>
    <t>Combustibles, lubricantes</t>
  </si>
  <si>
    <t>Productos químicos y conexos</t>
  </si>
  <si>
    <t>Productos y útiles varios</t>
  </si>
  <si>
    <t>Variación en el Inventario</t>
  </si>
  <si>
    <t>Total Suministro y materiales para consumo</t>
  </si>
  <si>
    <t>Nota # 22</t>
  </si>
  <si>
    <t>Gasto de Depreciación y Amortización</t>
  </si>
  <si>
    <t>Depreciación</t>
  </si>
  <si>
    <t>Amortización</t>
  </si>
  <si>
    <t xml:space="preserve">Total </t>
  </si>
  <si>
    <t>Nota # 23</t>
  </si>
  <si>
    <t xml:space="preserve">Otros gastos </t>
  </si>
  <si>
    <t>PARTIDA</t>
  </si>
  <si>
    <t>Servicios básicos</t>
  </si>
  <si>
    <t>Electricidad</t>
  </si>
  <si>
    <t>Publicidad, impresión y encuadernación</t>
  </si>
  <si>
    <t>Viáticos</t>
  </si>
  <si>
    <t>Transporte y almacenaje</t>
  </si>
  <si>
    <t>Alquileres y rentas</t>
  </si>
  <si>
    <t>Seguros</t>
  </si>
  <si>
    <t>Servicios de conservación, reparaciones menores e instalaciones temporales</t>
  </si>
  <si>
    <t>Otros servicios no incluidos en conceptos anteriores</t>
  </si>
  <si>
    <t>Total Otros gastos</t>
  </si>
  <si>
    <t>Nota # 24</t>
  </si>
  <si>
    <t xml:space="preserve">Gastos Financieros </t>
  </si>
  <si>
    <t>Comisiones y gastos bancarios</t>
  </si>
  <si>
    <t>Intereses</t>
  </si>
  <si>
    <t xml:space="preserve">Total Gastos Financieros </t>
  </si>
  <si>
    <t>Nota # 25</t>
  </si>
  <si>
    <t>Compromisos y contingencias</t>
  </si>
  <si>
    <t>Clientes Gubernamentales</t>
  </si>
  <si>
    <t>Clientes privados</t>
  </si>
  <si>
    <t>Total Compromisos y contingencias</t>
  </si>
  <si>
    <t>Notas. El método que utilizamos en el caso de los ingresos es por lo percibido por tal motivo no incluimos la cuenta por cobrar cliente en las informaciones.   La razón es que en el tiempo no hemos logrado tener índice de cobro del 100%. por lo que no lograremos disminuir.</t>
  </si>
  <si>
    <t>COMERCIAL</t>
  </si>
  <si>
    <t>ESPECIAL</t>
  </si>
  <si>
    <t>PUBLICO</t>
  </si>
  <si>
    <t>RESIDENCIAL</t>
  </si>
  <si>
    <t>SIN DATOS</t>
  </si>
  <si>
    <t xml:space="preserve">TOTAL </t>
  </si>
  <si>
    <t>HOTELES</t>
  </si>
  <si>
    <t>INDUSTRIAL</t>
  </si>
  <si>
    <t>TOTAL GENERAL</t>
  </si>
  <si>
    <t xml:space="preserve">ESCUELA PADRE CIPRIANO IBAÃ‘EZ MEP </t>
  </si>
  <si>
    <t>CENTRO EDUCATIVO GRANADA</t>
  </si>
  <si>
    <t>POLITECNICO AVE MARIA LA ISLETA</t>
  </si>
  <si>
    <t>ESCUELA JUAN M JIMENEZ MEP</t>
  </si>
  <si>
    <t>136052 </t>
  </si>
  <si>
    <t>CENTRO EDUCATIVO EL ROMERO</t>
  </si>
  <si>
    <t>ESCUELA BASICA LOS GUAYUYOS MEP</t>
  </si>
  <si>
    <t>ESCUELA SAN FRANCISCO ARRIBA MEP</t>
  </si>
  <si>
    <t xml:space="preserve"> ESCUELA AQUILINA DE J OVALLES</t>
  </si>
  <si>
    <t>LICEO GREGORIO LUPERON</t>
  </si>
  <si>
    <t xml:space="preserve">LICEO FRANCISCO ANT CASTILLO </t>
  </si>
  <si>
    <t>ESCUELA OLIVIA NUÑEZ HIDALGO</t>
  </si>
  <si>
    <t xml:space="preserve"> ESCUELA LOS NARANJO MEP</t>
  </si>
  <si>
    <t>ESCUELA MARIA F GUZMAN B MEP</t>
  </si>
  <si>
    <t xml:space="preserve">CENTRO EDU HATO VIEJO MEP </t>
  </si>
  <si>
    <t>ESCUELA SAN JUAN BAUTISTA MEP</t>
  </si>
  <si>
    <t xml:space="preserve">ESCUELA ALBERGUE INFANTIL MEP </t>
  </si>
  <si>
    <t>ESCUELA PEDRO JOSE HENRRIQUEZ</t>
  </si>
  <si>
    <t>POLITÃ‰CNICO SALESIANO PROF. ARQUIDES CALDERÃ“N</t>
  </si>
  <si>
    <t>ESCUELA LA SOLEDAD</t>
  </si>
  <si>
    <t xml:space="preserve">CENTRO EDUCATIVO LA SOLEDAD MEP </t>
  </si>
  <si>
    <t>LICEO AURORA TAVAREZ BELLIAR</t>
  </si>
  <si>
    <t>CENTRO EDUC LUIS RAMON G LIZARDO</t>
  </si>
  <si>
    <t>ESCUELA MELIDA PEREZ RODRIGUEZ MEP</t>
  </si>
  <si>
    <t>ESCUELA RAMON VARGAS VERAS</t>
  </si>
  <si>
    <t xml:space="preserve">CENTRO EDUCATIVO MOQUITA MEP </t>
  </si>
  <si>
    <t>CENTRO EDUCATIVO LLENAS</t>
  </si>
  <si>
    <t>CENTRO EDUCATIVO JUAN P SANCHEZ</t>
  </si>
  <si>
    <t>ESCUELA EL CAIMITO MEP [ ESCUELA ]</t>
  </si>
  <si>
    <t>CENTRO EDUCATIVO SOR PURA CAAMAÃ‘O</t>
  </si>
  <si>
    <t>ESCUELA MILADY MARIA BENCOSME</t>
  </si>
  <si>
    <t xml:space="preserve">LICEO CAYETANO GERMOSEN MEP </t>
  </si>
  <si>
    <t>CASTILLO JOSE ANTONIO</t>
  </si>
  <si>
    <t xml:space="preserve">ESCUELA AURA E MERCEDES MATA MEP </t>
  </si>
  <si>
    <t>ESCUELA TEOLINDA BENCOSME</t>
  </si>
  <si>
    <t>LICEO ELADIO PEÃ‘A DE LA ROSA MEP [ INSTITUCION ]</t>
  </si>
  <si>
    <t>ESCUELA MERCEDES TEJADA</t>
  </si>
  <si>
    <t xml:space="preserve">JUAN MIGUEL VICENTE CENTRO ED MEP </t>
  </si>
  <si>
    <t>ESCUELA CACIQUE</t>
  </si>
  <si>
    <t>ESCUELA BASICA ELEUTERIO SALAZAR</t>
  </si>
  <si>
    <t xml:space="preserve">CENTRO EDUCATIVO EL SALADILLO MEP </t>
  </si>
  <si>
    <t xml:space="preserve">ESCUELA RODOLFO ANT RODRIGUEZ MEP </t>
  </si>
  <si>
    <t>ESCUELA ANGELA MARIA BENCOSME</t>
  </si>
  <si>
    <t xml:space="preserve">ESCUELA JOSE MARIA RAMIREZ MEP </t>
  </si>
  <si>
    <t xml:space="preserve">ESCUELA ONESIMO GRULLON MEP </t>
  </si>
  <si>
    <t>ESCUELA LA PIÃ‘A</t>
  </si>
  <si>
    <t xml:space="preserve">ESCUELA BASICA JORGE R BONILLA C </t>
  </si>
  <si>
    <t>ESCUELA LAS MARIAS</t>
  </si>
  <si>
    <t>ESCUELA JOSEFA RAMONA GONZALEZ</t>
  </si>
  <si>
    <t xml:space="preserve">ESCUELA MARIA E MENDEZ MEP </t>
  </si>
  <si>
    <t xml:space="preserve">ESCUELA ISABEL LA CATOLICA MEP </t>
  </si>
  <si>
    <t>ESCUELA VALENTIN MICHEL MEP [  ]</t>
  </si>
  <si>
    <t xml:space="preserve">ESCUELA PUESTO GRANDE MEP </t>
  </si>
  <si>
    <t xml:space="preserve">ESCUELA ARROYO FRIO MEP </t>
  </si>
  <si>
    <t>ESCUELA LUIS CONRADO DEL CASTILLO [ EL CANDOR ]</t>
  </si>
  <si>
    <t xml:space="preserve">ESCUELA FRANCISCO LANTIGUA MEP </t>
  </si>
  <si>
    <t>CENTRO EDUCATIVO ONESIMO POLANCO</t>
  </si>
  <si>
    <t>ESCUELA BASICA AMERICA URVINO</t>
  </si>
  <si>
    <t>ESCUELA CA O CONSERBA</t>
  </si>
  <si>
    <t>LICEO EUGENIO MARIA DE HOSTOS</t>
  </si>
  <si>
    <t>ESCUELA CRISTINO PITTA</t>
  </si>
  <si>
    <t>CENTRO EDUCATIVO ANIBAL MEDINA MEP</t>
  </si>
  <si>
    <t xml:space="preserve">ESCUELA JOSE GREGORIO DE LEON </t>
  </si>
  <si>
    <t xml:space="preserve">ESCUELA NOEL RAMON PERALTA MEP </t>
  </si>
  <si>
    <t>ESCUELA AURA ESTELA NUÃ‘EZ BENCOSME</t>
  </si>
  <si>
    <t xml:space="preserve">ESCUELA ANDRES BELLO MEP </t>
  </si>
  <si>
    <t>LICEO FRANCISCO GUZMAN COMPRES MEP</t>
  </si>
  <si>
    <t>ESCUELA LORENZO CONFESOR HICIANO</t>
  </si>
  <si>
    <t>ESCUELA JUAN CRISOSTOMO ESTRELLA</t>
  </si>
  <si>
    <t>ESCUELA LOS TEJADAS</t>
  </si>
  <si>
    <t xml:space="preserve">ESCUELA SIXTO PASTOR HERNANDEZ </t>
  </si>
  <si>
    <t>LICEO DOMINGO F SARMIENTO MEP [ LICEO ]</t>
  </si>
  <si>
    <t xml:space="preserve">ESCUELA PRIMARIA ORTEGA MEP </t>
  </si>
  <si>
    <t>LICEO LUIS RAMON BENCOSME</t>
  </si>
  <si>
    <t xml:space="preserve">             Lista de BALANCE PROVEEDORES A LA FECHA 31/12/2025</t>
  </si>
  <si>
    <t>Proveedor</t>
  </si>
  <si>
    <t>Balance</t>
  </si>
  <si>
    <t>C-01</t>
  </si>
  <si>
    <t>CLARO</t>
  </si>
  <si>
    <t>CCI01</t>
  </si>
  <si>
    <t>CARIBBEAN CHEMICAL INDUSTRIES, CORP</t>
  </si>
  <si>
    <t>EI-001</t>
  </si>
  <si>
    <t>ESTACION ISLA  O  CARLOS LIZARDO</t>
  </si>
  <si>
    <t>RF-001</t>
  </si>
  <si>
    <t>GRUPO SANCHEZ</t>
  </si>
  <si>
    <t>STD-01</t>
  </si>
  <si>
    <t>SOLUCIONES TECNICAS DALIB, S.R.L.</t>
  </si>
  <si>
    <t>TV-002</t>
  </si>
  <si>
    <t>TELEVIADUCTO, S.R.L.</t>
  </si>
  <si>
    <t>WIP-02</t>
  </si>
  <si>
    <t>ESPARTAPLAST DOMINICANA</t>
  </si>
  <si>
    <t xml:space="preserve">Total cuenta por pagar suplidores </t>
  </si>
  <si>
    <t>Cuenta por pagar suplidores gobierno</t>
  </si>
  <si>
    <t>AM-004</t>
  </si>
  <si>
    <t>AYUNTAMIENTO MUNICIPAL DE MOCA</t>
  </si>
  <si>
    <t>ED-001</t>
  </si>
  <si>
    <t>EDENORTE DOMINICANA, S.A.</t>
  </si>
  <si>
    <t>Total cuenta por pagar gobierno</t>
  </si>
  <si>
    <t xml:space="preserve">Total de balance a proveedores </t>
  </si>
  <si>
    <t xml:space="preserve">Inventario de Articulos al 31/12/2025 </t>
  </si>
  <si>
    <t>Producto</t>
  </si>
  <si>
    <t>Número</t>
  </si>
  <si>
    <t>Descripcion</t>
  </si>
  <si>
    <t>Cantidad</t>
  </si>
  <si>
    <t/>
  </si>
  <si>
    <t>000002</t>
  </si>
  <si>
    <t>'000002</t>
  </si>
  <si>
    <t>TAPONES DE 1/2 PVC</t>
  </si>
  <si>
    <t>006</t>
  </si>
  <si>
    <t>000003</t>
  </si>
  <si>
    <t>'000003</t>
  </si>
  <si>
    <t>TAPONES DE 3/4 PVC</t>
  </si>
  <si>
    <t>001</t>
  </si>
  <si>
    <t>000004</t>
  </si>
  <si>
    <t>'000004</t>
  </si>
  <si>
    <t>TAPONES DE 1 PVC</t>
  </si>
  <si>
    <t>000005</t>
  </si>
  <si>
    <t>'000005</t>
  </si>
  <si>
    <t>TAPONES DE 1 1/2 PVC</t>
  </si>
  <si>
    <t>000007</t>
  </si>
  <si>
    <t>'000007</t>
  </si>
  <si>
    <t>TAPONES DE 3 PVC</t>
  </si>
  <si>
    <t>000009</t>
  </si>
  <si>
    <t>'000009</t>
  </si>
  <si>
    <t>UNIONES DE 1/2 PVC</t>
  </si>
  <si>
    <t>000010</t>
  </si>
  <si>
    <t>'000010</t>
  </si>
  <si>
    <t>UNIONES DE 3/4 PVC</t>
  </si>
  <si>
    <t>000012</t>
  </si>
  <si>
    <t>'000012</t>
  </si>
  <si>
    <t>UNIONES DE 1 1/2 PVC</t>
  </si>
  <si>
    <t>000014</t>
  </si>
  <si>
    <t>'000014</t>
  </si>
  <si>
    <t>CODO  DE 1/2 PVC</t>
  </si>
  <si>
    <t>000015</t>
  </si>
  <si>
    <t>'000015</t>
  </si>
  <si>
    <t>CODO  DE 3/4 PVC</t>
  </si>
  <si>
    <t>000016</t>
  </si>
  <si>
    <t>'000016</t>
  </si>
  <si>
    <t>CODO  DE 1 PVC</t>
  </si>
  <si>
    <t>000017</t>
  </si>
  <si>
    <t>'000017</t>
  </si>
  <si>
    <t>CODO  DE 1 1/2 PVC</t>
  </si>
  <si>
    <t>000018</t>
  </si>
  <si>
    <t>'000018</t>
  </si>
  <si>
    <t>CODO  DE 2 PVC</t>
  </si>
  <si>
    <t>000019</t>
  </si>
  <si>
    <t>'000019</t>
  </si>
  <si>
    <t>CODO  DE 4 PVC</t>
  </si>
  <si>
    <t>000020</t>
  </si>
  <si>
    <t>'000020</t>
  </si>
  <si>
    <t>ADAPTADORES M DE 1/2 PVC</t>
  </si>
  <si>
    <t>000021</t>
  </si>
  <si>
    <t>'000021</t>
  </si>
  <si>
    <t>ADAPTADORES M DE 3/4 PVC</t>
  </si>
  <si>
    <t>000022</t>
  </si>
  <si>
    <t>'000022</t>
  </si>
  <si>
    <t>ADAPTADORES H DE 1/2 PVC</t>
  </si>
  <si>
    <t>000023</t>
  </si>
  <si>
    <t>'000023</t>
  </si>
  <si>
    <t>ADAPTADORES H DE 3/4 PVC</t>
  </si>
  <si>
    <t>000024</t>
  </si>
  <si>
    <t>'000024</t>
  </si>
  <si>
    <t>JUNTA DRESSER DE 1/2 PVC</t>
  </si>
  <si>
    <t>000025</t>
  </si>
  <si>
    <t>'000025</t>
  </si>
  <si>
    <t>JUNTA DRESSER DE 3/4 PVC</t>
  </si>
  <si>
    <t>000028</t>
  </si>
  <si>
    <t>'000028</t>
  </si>
  <si>
    <t>JUNTA DRESSER DE 2 PVC</t>
  </si>
  <si>
    <t>000029</t>
  </si>
  <si>
    <t>'000029</t>
  </si>
  <si>
    <t>CLAN DE 2 A 1/2 PVC</t>
  </si>
  <si>
    <t>000030</t>
  </si>
  <si>
    <t>'000030</t>
  </si>
  <si>
    <t>CLAN DE 3 A 1/2 PVC</t>
  </si>
  <si>
    <t>000031</t>
  </si>
  <si>
    <t>'000031</t>
  </si>
  <si>
    <t>CLAN  DE 4 A 1/2 PVC</t>
  </si>
  <si>
    <t>000032</t>
  </si>
  <si>
    <t>'000032</t>
  </si>
  <si>
    <t>REDUCIONES DE 3/4 A 1/2 PVC</t>
  </si>
  <si>
    <t>000033</t>
  </si>
  <si>
    <t>'000033</t>
  </si>
  <si>
    <t>REDUCIONES DE 1 A 1/2 PVC</t>
  </si>
  <si>
    <t>000035</t>
  </si>
  <si>
    <t>'000035</t>
  </si>
  <si>
    <t>TUBOS DE PRESION DE 1/2 PVC</t>
  </si>
  <si>
    <t>000036</t>
  </si>
  <si>
    <t>'000036</t>
  </si>
  <si>
    <t>TUBOS DE PRESION DE 3/4 PVC</t>
  </si>
  <si>
    <t>000037</t>
  </si>
  <si>
    <t>'000037</t>
  </si>
  <si>
    <t>TUBOS DE PRESION DE 1 PVC</t>
  </si>
  <si>
    <t>000038</t>
  </si>
  <si>
    <t>'000038</t>
  </si>
  <si>
    <t>TUBOS DE PRESION DE 1 1/2 PVC O P.MANTEN</t>
  </si>
  <si>
    <t>000039</t>
  </si>
  <si>
    <t>'000039</t>
  </si>
  <si>
    <t>TUBOS DE PRESION DE 2 PVC</t>
  </si>
  <si>
    <t>000040</t>
  </si>
  <si>
    <t>'000040</t>
  </si>
  <si>
    <t>TUBOS DE PRESION DE 3 PVC</t>
  </si>
  <si>
    <t>000041</t>
  </si>
  <si>
    <t>'000041</t>
  </si>
  <si>
    <t>TUBOS DE PRESION DE 4 PVC</t>
  </si>
  <si>
    <t>000042</t>
  </si>
  <si>
    <t>'000042</t>
  </si>
  <si>
    <t>TUBOS DE PRESION DE 6 PVC</t>
  </si>
  <si>
    <t>000043</t>
  </si>
  <si>
    <t>'000043</t>
  </si>
  <si>
    <t>TUBOS DE PRESION DE 8 PVC</t>
  </si>
  <si>
    <t>000044</t>
  </si>
  <si>
    <t>'000044</t>
  </si>
  <si>
    <t xml:space="preserve">PICO </t>
  </si>
  <si>
    <t>000045</t>
  </si>
  <si>
    <t>'000045</t>
  </si>
  <si>
    <t>PALA WINCHE</t>
  </si>
  <si>
    <t>000046</t>
  </si>
  <si>
    <t>'000046</t>
  </si>
  <si>
    <t>SEGUETAS</t>
  </si>
  <si>
    <t>000047</t>
  </si>
  <si>
    <t>'000047</t>
  </si>
  <si>
    <t>CEMENTO TANGIT DE 1/4 950ML PVC</t>
  </si>
  <si>
    <t>000051</t>
  </si>
  <si>
    <t>'000051</t>
  </si>
  <si>
    <t>CAJA DE GRAPAS</t>
  </si>
  <si>
    <t>000052</t>
  </si>
  <si>
    <t>'000052</t>
  </si>
  <si>
    <t>CAJITA DE CLIP GRANDE</t>
  </si>
  <si>
    <t>000053</t>
  </si>
  <si>
    <t>'000053</t>
  </si>
  <si>
    <t>CAJITA DE CLIP PEQ.</t>
  </si>
  <si>
    <t>000054</t>
  </si>
  <si>
    <t>'000054</t>
  </si>
  <si>
    <t>CAJA DE LIGA</t>
  </si>
  <si>
    <t>000055</t>
  </si>
  <si>
    <t>'000055</t>
  </si>
  <si>
    <t>CAJA DE GANCHO M/H</t>
  </si>
  <si>
    <t>000057</t>
  </si>
  <si>
    <t>'000057</t>
  </si>
  <si>
    <t>SACA GRAPAS</t>
  </si>
  <si>
    <t>000062</t>
  </si>
  <si>
    <t>'000062</t>
  </si>
  <si>
    <t xml:space="preserve">LAPIZ </t>
  </si>
  <si>
    <t>000066</t>
  </si>
  <si>
    <t>'000066</t>
  </si>
  <si>
    <t>RESALTADORES</t>
  </si>
  <si>
    <t>000070</t>
  </si>
  <si>
    <t>'000070</t>
  </si>
  <si>
    <t>SOBRES DE USUARIOS PEQ</t>
  </si>
  <si>
    <t>000071</t>
  </si>
  <si>
    <t>'000071</t>
  </si>
  <si>
    <t>CINTA PARA IMPRESORAS STAR SP200</t>
  </si>
  <si>
    <t>000072</t>
  </si>
  <si>
    <t>'000072</t>
  </si>
  <si>
    <t>CINTA  DE SUMADORA</t>
  </si>
  <si>
    <t>000073</t>
  </si>
  <si>
    <t>'000073</t>
  </si>
  <si>
    <t>RESMA DE PAPEL 8 1/2*11</t>
  </si>
  <si>
    <t>000074</t>
  </si>
  <si>
    <t>'000074</t>
  </si>
  <si>
    <t>RESMA DE PAPEL 8 1/2*14</t>
  </si>
  <si>
    <t>000075</t>
  </si>
  <si>
    <t>'000075</t>
  </si>
  <si>
    <t>FOLDER 8 1/2 * 11</t>
  </si>
  <si>
    <t>000077</t>
  </si>
  <si>
    <t>'000077</t>
  </si>
  <si>
    <t>CAJA D PAPEL D ORDEN D COMPRA CONTINUAS</t>
  </si>
  <si>
    <t>000078</t>
  </si>
  <si>
    <t>'000078</t>
  </si>
  <si>
    <t>SOBRES MANILA  9*12</t>
  </si>
  <si>
    <t>000079</t>
  </si>
  <si>
    <t>'000079</t>
  </si>
  <si>
    <t>SOBRES MANILA  10*15</t>
  </si>
  <si>
    <t>000081</t>
  </si>
  <si>
    <t>'000081</t>
  </si>
  <si>
    <t>ROLLO D PAPEL D IMPRESORAS 3 PULGADA</t>
  </si>
  <si>
    <t>000087</t>
  </si>
  <si>
    <t>'000087</t>
  </si>
  <si>
    <t>LIBRETAS RAYADA  GDE</t>
  </si>
  <si>
    <t>000092</t>
  </si>
  <si>
    <t>'000092</t>
  </si>
  <si>
    <t>GALONES D CLORO</t>
  </si>
  <si>
    <t>000099</t>
  </si>
  <si>
    <t>'000099</t>
  </si>
  <si>
    <t>PAQUETE DE CAFE</t>
  </si>
  <si>
    <t>000100</t>
  </si>
  <si>
    <t>'000100</t>
  </si>
  <si>
    <t>PAQUETE D FUNDAS 17 * 22</t>
  </si>
  <si>
    <t>000101</t>
  </si>
  <si>
    <t>'000101</t>
  </si>
  <si>
    <t>PAQUETE D FUNDAS 36 * 54</t>
  </si>
  <si>
    <t>000102</t>
  </si>
  <si>
    <t>'000102</t>
  </si>
  <si>
    <t>TALONARIOS D CONTROL D ROTURAS</t>
  </si>
  <si>
    <t>000103</t>
  </si>
  <si>
    <t>'000103</t>
  </si>
  <si>
    <t>TALONARIOS D  ORDEN D  TRABAJO</t>
  </si>
  <si>
    <t>000105</t>
  </si>
  <si>
    <t>'000105</t>
  </si>
  <si>
    <t>TALONARIOS D REPORT DIARIO GAZPAR HERNAN</t>
  </si>
  <si>
    <t>000109</t>
  </si>
  <si>
    <t>'000109</t>
  </si>
  <si>
    <t>TALONARIOS D  REPORTE DIARIO DE LA ROSA</t>
  </si>
  <si>
    <t>000110</t>
  </si>
  <si>
    <t>'000110</t>
  </si>
  <si>
    <t>TALONARIOS D  REPORTE DIARIO D  JAMAO</t>
  </si>
  <si>
    <t>000117</t>
  </si>
  <si>
    <t>'000117</t>
  </si>
  <si>
    <t>RECIBO D INGRESO D EFECTIVO PEQ C.S.C</t>
  </si>
  <si>
    <t>000119</t>
  </si>
  <si>
    <t>'000119</t>
  </si>
  <si>
    <t xml:space="preserve">TALONARIOS DE REVISION DOMICILIARIA </t>
  </si>
  <si>
    <t>000120</t>
  </si>
  <si>
    <t>'000120</t>
  </si>
  <si>
    <t>LIBRETA  DE APUNTE COMERCIAL GDE BLANCA</t>
  </si>
  <si>
    <t>000122</t>
  </si>
  <si>
    <t>'000122</t>
  </si>
  <si>
    <t xml:space="preserve">TALONARIOS DE REPORTE DIARIO (VACIADO) </t>
  </si>
  <si>
    <t>000124</t>
  </si>
  <si>
    <t>'000124</t>
  </si>
  <si>
    <t>RECIBO RP</t>
  </si>
  <si>
    <t>000125</t>
  </si>
  <si>
    <t>'000125</t>
  </si>
  <si>
    <t>RECIBO INGRESO EFECTIVO INSTITUSION</t>
  </si>
  <si>
    <t>000129</t>
  </si>
  <si>
    <t>'000129</t>
  </si>
  <si>
    <t>RECIBO CAJA CHICA COMPRA</t>
  </si>
  <si>
    <t>000131</t>
  </si>
  <si>
    <t>'000131</t>
  </si>
  <si>
    <t>TALONARIOS DE PERMISO</t>
  </si>
  <si>
    <t>000132</t>
  </si>
  <si>
    <t>'000132</t>
  </si>
  <si>
    <t>TALONARIOS SUSPENSION DE SERVICIO</t>
  </si>
  <si>
    <t>000133</t>
  </si>
  <si>
    <t>'000133</t>
  </si>
  <si>
    <t>CAJA DE PAPEL 5 1/2*5 1/2 2P BLANCO 4/1</t>
  </si>
  <si>
    <t>000135</t>
  </si>
  <si>
    <t>'000135</t>
  </si>
  <si>
    <t>TALONARIOS DE CONTRATO</t>
  </si>
  <si>
    <t>000140</t>
  </si>
  <si>
    <t>'000140</t>
  </si>
  <si>
    <t>CARPETAS DE CARTON 8 1/2 * 11 C/CLIP</t>
  </si>
  <si>
    <t>000142</t>
  </si>
  <si>
    <t>'000142</t>
  </si>
  <si>
    <t>TEE DE 1 1/2 PVC</t>
  </si>
  <si>
    <t>000143</t>
  </si>
  <si>
    <t>'000143</t>
  </si>
  <si>
    <t>TEE DE 1/2 PVC</t>
  </si>
  <si>
    <t>000144</t>
  </si>
  <si>
    <t>'000144</t>
  </si>
  <si>
    <t>TEE DE 3/4 PVC</t>
  </si>
  <si>
    <t>000152</t>
  </si>
  <si>
    <t>'000152</t>
  </si>
  <si>
    <t>TAL, DE REQUICISION SOLICITUD DE MATERIA</t>
  </si>
  <si>
    <t>000154</t>
  </si>
  <si>
    <t>'000154</t>
  </si>
  <si>
    <t>SOBRES EN BLANCO LARGO</t>
  </si>
  <si>
    <t>000155</t>
  </si>
  <si>
    <t>'000155</t>
  </si>
  <si>
    <t>LIQUIPERPER TIPO LAPIZ</t>
  </si>
  <si>
    <t>000160</t>
  </si>
  <si>
    <t>'000160</t>
  </si>
  <si>
    <t>PAPEL CARBON</t>
  </si>
  <si>
    <t>000167</t>
  </si>
  <si>
    <t>'000167</t>
  </si>
  <si>
    <t>PAQUETE D FUNDAS NUMERO 6</t>
  </si>
  <si>
    <t>000172</t>
  </si>
  <si>
    <t>'000172</t>
  </si>
  <si>
    <t>TALONARIOS DE ENTREGA D MATERIALES</t>
  </si>
  <si>
    <t>000175</t>
  </si>
  <si>
    <t>'000175</t>
  </si>
  <si>
    <t>ABRASADERAS DE HIERRO DE 3 PULGADA</t>
  </si>
  <si>
    <t>000177</t>
  </si>
  <si>
    <t>'000177</t>
  </si>
  <si>
    <t>CAJITA D FOSFORO</t>
  </si>
  <si>
    <t>000178</t>
  </si>
  <si>
    <t>'000178</t>
  </si>
  <si>
    <t>ADAPTADOR H DE 4 PULGADA PVC</t>
  </si>
  <si>
    <t>000184</t>
  </si>
  <si>
    <t>'000184</t>
  </si>
  <si>
    <t>JUNTA DRESSER HG D 4 PULGADA CRIOLLA</t>
  </si>
  <si>
    <t>000190</t>
  </si>
  <si>
    <t>'000190</t>
  </si>
  <si>
    <t>ESCOBA</t>
  </si>
  <si>
    <t>000191</t>
  </si>
  <si>
    <t>'000191</t>
  </si>
  <si>
    <t>POST-IN  3 * 3</t>
  </si>
  <si>
    <t>000193</t>
  </si>
  <si>
    <t>'000193</t>
  </si>
  <si>
    <t>PERFORADORA 2 HOYO</t>
  </si>
  <si>
    <t>000195</t>
  </si>
  <si>
    <t>'000195</t>
  </si>
  <si>
    <t>TAPONES DE 2 PVC</t>
  </si>
  <si>
    <t>000196</t>
  </si>
  <si>
    <t>'000196</t>
  </si>
  <si>
    <t>SACOS DE SULFATO DE ALUMINIO DE 50KG</t>
  </si>
  <si>
    <t>000197</t>
  </si>
  <si>
    <t>'000197</t>
  </si>
  <si>
    <t>BARRICAS DE CLOROHIDRATO</t>
  </si>
  <si>
    <t>000198</t>
  </si>
  <si>
    <t>'000198</t>
  </si>
  <si>
    <t>CLORO GAS,LIBRA.</t>
  </si>
  <si>
    <t>000200</t>
  </si>
  <si>
    <t>'000200</t>
  </si>
  <si>
    <t>CAJA DE PAPEL CONTINUO 9 1/2 * 5 1/2</t>
  </si>
  <si>
    <t>000205</t>
  </si>
  <si>
    <t>'000205</t>
  </si>
  <si>
    <t>FUNDAS D CEMENTO GRIS</t>
  </si>
  <si>
    <t>000207</t>
  </si>
  <si>
    <t>'000207</t>
  </si>
  <si>
    <t>ROLLO D TEFLON</t>
  </si>
  <si>
    <t>000225</t>
  </si>
  <si>
    <t>'000225</t>
  </si>
  <si>
    <t>CODO  DE 45 GRADO DE 1/2 PVC</t>
  </si>
  <si>
    <t>000226</t>
  </si>
  <si>
    <t>'000226</t>
  </si>
  <si>
    <t>CODO  DE 45 GRADO 3/4 PVC</t>
  </si>
  <si>
    <t>000229</t>
  </si>
  <si>
    <t>'000229</t>
  </si>
  <si>
    <t>CODO  NIPLE D ROCA DE 1/2  HG</t>
  </si>
  <si>
    <t>000241</t>
  </si>
  <si>
    <t>'000241</t>
  </si>
  <si>
    <t>MEDIDORES DE 1/2</t>
  </si>
  <si>
    <t>000249</t>
  </si>
  <si>
    <t>'000249</t>
  </si>
  <si>
    <t>TRAMO GRIS</t>
  </si>
  <si>
    <t>000277</t>
  </si>
  <si>
    <t>'000277</t>
  </si>
  <si>
    <t>LAMPARA DE FARO EN ALUMINIO</t>
  </si>
  <si>
    <t>000279</t>
  </si>
  <si>
    <t>'000279</t>
  </si>
  <si>
    <t>PALOMETA NIQUELADA</t>
  </si>
  <si>
    <t>000282</t>
  </si>
  <si>
    <t>'000282</t>
  </si>
  <si>
    <t xml:space="preserve">BISAGRA </t>
  </si>
  <si>
    <t>000283</t>
  </si>
  <si>
    <t>'000283</t>
  </si>
  <si>
    <t>TUBOS D 1/2  PVC ELECTRICO</t>
  </si>
  <si>
    <t>000287</t>
  </si>
  <si>
    <t>'000287</t>
  </si>
  <si>
    <t>VALVULA D 2  HG D HIERRO COMPLETA</t>
  </si>
  <si>
    <t>000289</t>
  </si>
  <si>
    <t>'000289</t>
  </si>
  <si>
    <t>JUNTA DRESSER D 12  HG DE HIERRO CRIOLLA</t>
  </si>
  <si>
    <t>000290</t>
  </si>
  <si>
    <t>'000290</t>
  </si>
  <si>
    <t>JUNTA DRESSER D 8 HG D HIERRO CRIOLLA</t>
  </si>
  <si>
    <t>000292</t>
  </si>
  <si>
    <t>'000292</t>
  </si>
  <si>
    <t>JUNTA DRESSER D 2 HG D HIERRO CRIOLLA</t>
  </si>
  <si>
    <t>000314</t>
  </si>
  <si>
    <t>'000314</t>
  </si>
  <si>
    <t>TEE DE 1 PVC</t>
  </si>
  <si>
    <t>000315</t>
  </si>
  <si>
    <t>'000315</t>
  </si>
  <si>
    <t>LLAVE PASO 1 1/2 PVC</t>
  </si>
  <si>
    <t>000317</t>
  </si>
  <si>
    <t>'000317</t>
  </si>
  <si>
    <t>TALONARIOS FORMULARIO INSTASION DE MEDID</t>
  </si>
  <si>
    <t>000323</t>
  </si>
  <si>
    <t>'000323</t>
  </si>
  <si>
    <t>JUNTA DRESSER D 3 HG D HIERRO CRIOLLA</t>
  </si>
  <si>
    <t>000325</t>
  </si>
  <si>
    <t>'000325</t>
  </si>
  <si>
    <t>CAJA TELESCOPICA</t>
  </si>
  <si>
    <t>000347</t>
  </si>
  <si>
    <t>'000347</t>
  </si>
  <si>
    <t>VARILLA DE CONSTRUSION 3/8</t>
  </si>
  <si>
    <t>000351</t>
  </si>
  <si>
    <t>'000351</t>
  </si>
  <si>
    <t>CODO DE 3 PVC</t>
  </si>
  <si>
    <t>000352</t>
  </si>
  <si>
    <t>'000352</t>
  </si>
  <si>
    <t>TEE DE 3 PVC</t>
  </si>
  <si>
    <t>000353</t>
  </si>
  <si>
    <t>'000353</t>
  </si>
  <si>
    <t>TEE DE 4 PVC</t>
  </si>
  <si>
    <t>000354</t>
  </si>
  <si>
    <t>'000354</t>
  </si>
  <si>
    <t>TAPONES DE 4 PVC</t>
  </si>
  <si>
    <t>000363</t>
  </si>
  <si>
    <t>'000363</t>
  </si>
  <si>
    <t>CODO CURVA DE 3 HG DE HIERRO</t>
  </si>
  <si>
    <t>000370</t>
  </si>
  <si>
    <t>'000370</t>
  </si>
  <si>
    <t>BLOCK DE 6</t>
  </si>
  <si>
    <t>000377</t>
  </si>
  <si>
    <t>'000377</t>
  </si>
  <si>
    <t>ADAPTADORES M DE 1 1/2 PVC</t>
  </si>
  <si>
    <t>000386</t>
  </si>
  <si>
    <t>'000386</t>
  </si>
  <si>
    <t>PAPEL DE BAÑO JUMBO GRANDE</t>
  </si>
  <si>
    <t>000387</t>
  </si>
  <si>
    <t>'000387</t>
  </si>
  <si>
    <t>SELLO MULTIPLE</t>
  </si>
  <si>
    <t>000388</t>
  </si>
  <si>
    <t>'000388</t>
  </si>
  <si>
    <t>FOLDER PLASTICO</t>
  </si>
  <si>
    <t>000392</t>
  </si>
  <si>
    <t>'000392</t>
  </si>
  <si>
    <t>CLAN DE 2 A 3/4 PVC</t>
  </si>
  <si>
    <t>000393</t>
  </si>
  <si>
    <t>'000393</t>
  </si>
  <si>
    <t>CLAN DE 3 A 3/4 PVC</t>
  </si>
  <si>
    <t>000394</t>
  </si>
  <si>
    <t>'000394</t>
  </si>
  <si>
    <t>CLAN DE 4 A 3/4 PVC</t>
  </si>
  <si>
    <t>000396</t>
  </si>
  <si>
    <t>'000396</t>
  </si>
  <si>
    <t>TUBOS SEMI PRESION DE 6 PVC</t>
  </si>
  <si>
    <t>000397</t>
  </si>
  <si>
    <t>'000397</t>
  </si>
  <si>
    <t>TUBOS SEMI PRESION DE 8 PVC</t>
  </si>
  <si>
    <t>000398</t>
  </si>
  <si>
    <t>'000398</t>
  </si>
  <si>
    <t>TALONARIOS REVISION DEL CLIENTE</t>
  </si>
  <si>
    <t>000401</t>
  </si>
  <si>
    <t>'000401</t>
  </si>
  <si>
    <t>MARCADORES GRUESO PERMANENTE STABILO</t>
  </si>
  <si>
    <t>000413</t>
  </si>
  <si>
    <t>'000413</t>
  </si>
  <si>
    <t>UNIONES UNIVERSALES DE 1/2 PVC</t>
  </si>
  <si>
    <t>000414</t>
  </si>
  <si>
    <t>'000414</t>
  </si>
  <si>
    <t>UNIONES UNIVERSALES DE 3/4 PVC</t>
  </si>
  <si>
    <t>000421</t>
  </si>
  <si>
    <t>'000421</t>
  </si>
  <si>
    <t>PAQUETE FUNDA 28 * 35</t>
  </si>
  <si>
    <t>000424</t>
  </si>
  <si>
    <t>'000424</t>
  </si>
  <si>
    <t>TINTA GOTERO</t>
  </si>
  <si>
    <t>000433</t>
  </si>
  <si>
    <t>'000433</t>
  </si>
  <si>
    <t>TALONARIOS SOLICITUD DE SERVICIO VIEJO</t>
  </si>
  <si>
    <t>000437</t>
  </si>
  <si>
    <t>'000437</t>
  </si>
  <si>
    <t>TUBOS SEMI PRESION DE 4 PVC</t>
  </si>
  <si>
    <t>000451</t>
  </si>
  <si>
    <t>'000451</t>
  </si>
  <si>
    <t>CABLE SUMERGIBLE PLANO AMARILLO 6/4 PIE</t>
  </si>
  <si>
    <t>000471</t>
  </si>
  <si>
    <t>'000471</t>
  </si>
  <si>
    <t>CANALETAS DE 3/4</t>
  </si>
  <si>
    <t>000478</t>
  </si>
  <si>
    <t>'000478</t>
  </si>
  <si>
    <t>PORTA ROLO</t>
  </si>
  <si>
    <t>000485</t>
  </si>
  <si>
    <t>'000485</t>
  </si>
  <si>
    <t>PALA DE CORTE</t>
  </si>
  <si>
    <t>000497</t>
  </si>
  <si>
    <t>'000497</t>
  </si>
  <si>
    <t>BOTA  DE GOMA N.44 PARES</t>
  </si>
  <si>
    <t>000499</t>
  </si>
  <si>
    <t>'000499</t>
  </si>
  <si>
    <t>GUANTES INDUSTRIALES  - PARES -</t>
  </si>
  <si>
    <t>000501</t>
  </si>
  <si>
    <t>'000501</t>
  </si>
  <si>
    <t>BALANCIN P/INODORO</t>
  </si>
  <si>
    <t>000504</t>
  </si>
  <si>
    <t>'000504</t>
  </si>
  <si>
    <t>BOTA N.42</t>
  </si>
  <si>
    <t>000511</t>
  </si>
  <si>
    <t>'000511</t>
  </si>
  <si>
    <t>MASCARA DE BOCA</t>
  </si>
  <si>
    <t>000513</t>
  </si>
  <si>
    <t>'000513</t>
  </si>
  <si>
    <t>PENETRANTE</t>
  </si>
  <si>
    <t>000515</t>
  </si>
  <si>
    <t>'000515</t>
  </si>
  <si>
    <t>VALVULA P/INODORO</t>
  </si>
  <si>
    <t>000517</t>
  </si>
  <si>
    <t>'000517</t>
  </si>
  <si>
    <t>GALON DE AGUA</t>
  </si>
  <si>
    <t>000531</t>
  </si>
  <si>
    <t>'000531</t>
  </si>
  <si>
    <t>GRAPA P/CABLE DE ACERO DE 1/4</t>
  </si>
  <si>
    <t>000538</t>
  </si>
  <si>
    <t>'000538</t>
  </si>
  <si>
    <t>LLAVE PASO DE 1/2 PVC</t>
  </si>
  <si>
    <t>000539</t>
  </si>
  <si>
    <t>'000539</t>
  </si>
  <si>
    <t>TEE DE 2 PVC</t>
  </si>
  <si>
    <t>000541</t>
  </si>
  <si>
    <t>'000541</t>
  </si>
  <si>
    <t>TEE DE HIERRO HG DE 3</t>
  </si>
  <si>
    <t>000559</t>
  </si>
  <si>
    <t>'000559</t>
  </si>
  <si>
    <t xml:space="preserve">CASCO PROTECTOR </t>
  </si>
  <si>
    <t>000560</t>
  </si>
  <si>
    <t>'000560</t>
  </si>
  <si>
    <t xml:space="preserve">CHALECO PROTECTOR </t>
  </si>
  <si>
    <t>000561</t>
  </si>
  <si>
    <t>'000561</t>
  </si>
  <si>
    <t>BOTA DE GOMA N.43</t>
  </si>
  <si>
    <t>000571</t>
  </si>
  <si>
    <t>'000571</t>
  </si>
  <si>
    <t>VALVULA D/MARIPOSA DE 3 PULGADA</t>
  </si>
  <si>
    <t>000572</t>
  </si>
  <si>
    <t>'000572</t>
  </si>
  <si>
    <t>REDUCIONES DE 3 A 2 PVC</t>
  </si>
  <si>
    <t>000584</t>
  </si>
  <si>
    <t>'000584</t>
  </si>
  <si>
    <t>TAPONES DE 6 PVC</t>
  </si>
  <si>
    <t>000595</t>
  </si>
  <si>
    <t>'000595</t>
  </si>
  <si>
    <t xml:space="preserve">TUERCAS DE 1/2 </t>
  </si>
  <si>
    <t>000603</t>
  </si>
  <si>
    <t>'000603</t>
  </si>
  <si>
    <t>FAJA DE OBRERO</t>
  </si>
  <si>
    <t>000611</t>
  </si>
  <si>
    <t>'000611</t>
  </si>
  <si>
    <t>BREAKE FINO DE 20 AMPARE</t>
  </si>
  <si>
    <t>000623</t>
  </si>
  <si>
    <t>'000623</t>
  </si>
  <si>
    <t>CABLE SUMERGIBLE PLANO AMARILLO #10/4 (6</t>
  </si>
  <si>
    <t>000630</t>
  </si>
  <si>
    <t>'000630</t>
  </si>
  <si>
    <t>JUNTA DRESSER DE 3 PVC</t>
  </si>
  <si>
    <t>000632</t>
  </si>
  <si>
    <t>'000632</t>
  </si>
  <si>
    <t xml:space="preserve">TUBOS FLORESENTE 32WAT OSRAM </t>
  </si>
  <si>
    <t>000637</t>
  </si>
  <si>
    <t>'000637</t>
  </si>
  <si>
    <t>TOLA DE 1/8 * 4   LISA</t>
  </si>
  <si>
    <t>000649</t>
  </si>
  <si>
    <t>'000649</t>
  </si>
  <si>
    <t>IMPRESION  BON  8 1/2 * 11  TROQUELADA</t>
  </si>
  <si>
    <t>000662</t>
  </si>
  <si>
    <t>'000662</t>
  </si>
  <si>
    <t>ARANDELAS DE 1/2 LIBRA</t>
  </si>
  <si>
    <t>000666</t>
  </si>
  <si>
    <t>'000666</t>
  </si>
  <si>
    <t>SACOS DE SULFATO DE ALUMINIO DE 25KG</t>
  </si>
  <si>
    <t>000671</t>
  </si>
  <si>
    <t>'000671</t>
  </si>
  <si>
    <t>JUNTA DRESSER DE 16  HG DE HIERRO CRIOLL</t>
  </si>
  <si>
    <t>000673</t>
  </si>
  <si>
    <t>'000673</t>
  </si>
  <si>
    <t>TALONARIOS DE SOLICITUD DE SERVICIO NUEV</t>
  </si>
  <si>
    <t>000676</t>
  </si>
  <si>
    <t>'000676</t>
  </si>
  <si>
    <t>ADAPTADORES M DE 1 PVC</t>
  </si>
  <si>
    <t>000677</t>
  </si>
  <si>
    <t>'000677</t>
  </si>
  <si>
    <t>BARRA ROSCADA 5/8 GRANDE</t>
  </si>
  <si>
    <t>000678</t>
  </si>
  <si>
    <t>'000678</t>
  </si>
  <si>
    <t>MANGUERA P/ LAVA MANO</t>
  </si>
  <si>
    <t>000679</t>
  </si>
  <si>
    <t>'000679</t>
  </si>
  <si>
    <t>MANGUERA P/ INODORO</t>
  </si>
  <si>
    <t>000681</t>
  </si>
  <si>
    <t>'000681</t>
  </si>
  <si>
    <t xml:space="preserve">CHEQUE HORIZONTAL DE 3/4 </t>
  </si>
  <si>
    <t>000683</t>
  </si>
  <si>
    <t>'000683</t>
  </si>
  <si>
    <t>BRAZO HIDRAULICO P/ PUERTA</t>
  </si>
  <si>
    <t>000686</t>
  </si>
  <si>
    <t>'000686</t>
  </si>
  <si>
    <t>CLAN  DE 6 A 3/4  PVC</t>
  </si>
  <si>
    <t>000687</t>
  </si>
  <si>
    <t>'000687</t>
  </si>
  <si>
    <t>CLAVO DE ACERO DE 2 1/2  - LIBRA-</t>
  </si>
  <si>
    <t>000691</t>
  </si>
  <si>
    <t>'000691</t>
  </si>
  <si>
    <t>PINZA  P/ SOLDAR</t>
  </si>
  <si>
    <t>000692</t>
  </si>
  <si>
    <t>'000692</t>
  </si>
  <si>
    <t xml:space="preserve">NIPLE DE 1/2 * 3 </t>
  </si>
  <si>
    <t>000693</t>
  </si>
  <si>
    <t>'000693</t>
  </si>
  <si>
    <t>LLAVE ANGULAR DE 1/2</t>
  </si>
  <si>
    <t>000694</t>
  </si>
  <si>
    <t>'000694</t>
  </si>
  <si>
    <t>JUNTA DE CERA P/ INODORO</t>
  </si>
  <si>
    <t>000695</t>
  </si>
  <si>
    <t>'000695</t>
  </si>
  <si>
    <t>PAR DE TORNILLO TANQUE P/INODORO</t>
  </si>
  <si>
    <t>000701</t>
  </si>
  <si>
    <t>'000701</t>
  </si>
  <si>
    <t>CARPETA DE 2 PULGADA C/ ALGOLLA</t>
  </si>
  <si>
    <t>000705</t>
  </si>
  <si>
    <t>'000705</t>
  </si>
  <si>
    <t>SET DE BANDEJA PLASTICA P/ ESCRITORIO</t>
  </si>
  <si>
    <t>000710</t>
  </si>
  <si>
    <t>'000710</t>
  </si>
  <si>
    <t>TALONARIOS CAJA CHICA PLANTA LA DURA</t>
  </si>
  <si>
    <t>000711</t>
  </si>
  <si>
    <t>'000711</t>
  </si>
  <si>
    <t>SIFON SENCILLO</t>
  </si>
  <si>
    <t>000712</t>
  </si>
  <si>
    <t>'000712</t>
  </si>
  <si>
    <t>BOQUILLA P/ LAVAMANO</t>
  </si>
  <si>
    <t>000714</t>
  </si>
  <si>
    <t>'000714</t>
  </si>
  <si>
    <t>LLAVE P/ ORINAL</t>
  </si>
  <si>
    <t>000718</t>
  </si>
  <si>
    <t>'000718</t>
  </si>
  <si>
    <t>CINTA EPSON S015631 LX-350 ORIGINAL</t>
  </si>
  <si>
    <t>000725</t>
  </si>
  <si>
    <t>'000725</t>
  </si>
  <si>
    <t>CANALETAS DE 1</t>
  </si>
  <si>
    <t>000726</t>
  </si>
  <si>
    <t>'000726</t>
  </si>
  <si>
    <t xml:space="preserve">VALVULA P/ SISTERNA DE 3/4 </t>
  </si>
  <si>
    <t>000742</t>
  </si>
  <si>
    <t>'000742</t>
  </si>
  <si>
    <t>DISPENSADOR MANITA LIMPIA</t>
  </si>
  <si>
    <t>000757</t>
  </si>
  <si>
    <t>'000757</t>
  </si>
  <si>
    <t>BOMBILLO DE 8W</t>
  </si>
  <si>
    <t>000780</t>
  </si>
  <si>
    <t>'000780</t>
  </si>
  <si>
    <t xml:space="preserve">BROCHA DE  2 </t>
  </si>
  <si>
    <t>000792</t>
  </si>
  <si>
    <t>'000792</t>
  </si>
  <si>
    <t>MECHA DE 1/4 DE PARED</t>
  </si>
  <si>
    <t>000796</t>
  </si>
  <si>
    <t>'000796</t>
  </si>
  <si>
    <t>MECHA DE 1 DE PARED</t>
  </si>
  <si>
    <t>000803</t>
  </si>
  <si>
    <t>'000803</t>
  </si>
  <si>
    <t>MECHA 3/8 DE PARED</t>
  </si>
  <si>
    <t>000804</t>
  </si>
  <si>
    <t>'000804</t>
  </si>
  <si>
    <t>MECHA 1/2 DE PARED</t>
  </si>
  <si>
    <t>000810</t>
  </si>
  <si>
    <t>'000810</t>
  </si>
  <si>
    <t>MANOMETRO C/ GLICERINA DE 0-900</t>
  </si>
  <si>
    <t>000844</t>
  </si>
  <si>
    <t>'000844</t>
  </si>
  <si>
    <t xml:space="preserve">CABLE SUMERGIBLE PLANO AMARILLO N.8/4 - </t>
  </si>
  <si>
    <t>000849</t>
  </si>
  <si>
    <t>'000849</t>
  </si>
  <si>
    <t>VALVULA DE 12 HG DE HIERRO COMPLETA</t>
  </si>
  <si>
    <t>000856</t>
  </si>
  <si>
    <t>'000856</t>
  </si>
  <si>
    <t>BREAKE DE 30 AMPERE</t>
  </si>
  <si>
    <t>000861</t>
  </si>
  <si>
    <t>'000861</t>
  </si>
  <si>
    <t>TALADRO</t>
  </si>
  <si>
    <t>000866</t>
  </si>
  <si>
    <t>'000866</t>
  </si>
  <si>
    <t>ALICATE DE PRESION</t>
  </si>
  <si>
    <t>000869</t>
  </si>
  <si>
    <t>'000869</t>
  </si>
  <si>
    <t>LLAVE  P/ LAVA MANO  MESCLADO</t>
  </si>
  <si>
    <t>000874</t>
  </si>
  <si>
    <t>'000874</t>
  </si>
  <si>
    <t>MANDARRIA DE 6 LIBRA</t>
  </si>
  <si>
    <t>000890</t>
  </si>
  <si>
    <t>'000890</t>
  </si>
  <si>
    <t>ABRAZADERA D 3  P/MANGUERA D CAMION D AG</t>
  </si>
  <si>
    <t>000896</t>
  </si>
  <si>
    <t>'000896</t>
  </si>
  <si>
    <t>GEL, MANITA LIMPIA</t>
  </si>
  <si>
    <t>000897</t>
  </si>
  <si>
    <t>'000897</t>
  </si>
  <si>
    <t>TERMOMETRO A DISTANCIA</t>
  </si>
  <si>
    <t>000908</t>
  </si>
  <si>
    <t>'000908</t>
  </si>
  <si>
    <t>JUNTA DE 20 HG CRIOLLA</t>
  </si>
  <si>
    <t>000913</t>
  </si>
  <si>
    <t>'000913</t>
  </si>
  <si>
    <t>CARETA DE SOLDAR</t>
  </si>
  <si>
    <t>000914</t>
  </si>
  <si>
    <t>'000914</t>
  </si>
  <si>
    <t>ARNETDE SEGURIDAD</t>
  </si>
  <si>
    <t>000918</t>
  </si>
  <si>
    <t>'000918</t>
  </si>
  <si>
    <t>RASTRILLO</t>
  </si>
  <si>
    <t>000919</t>
  </si>
  <si>
    <t>'000919</t>
  </si>
  <si>
    <t>CARRETILLA TRUPER</t>
  </si>
  <si>
    <t>000922</t>
  </si>
  <si>
    <t>'000922</t>
  </si>
  <si>
    <t>VINAGRA PARA FURMIGAR</t>
  </si>
  <si>
    <t>000927</t>
  </si>
  <si>
    <t>'000927</t>
  </si>
  <si>
    <t>RG ADAPT PE A RM 63*2 E</t>
  </si>
  <si>
    <t>000928</t>
  </si>
  <si>
    <t>'000928</t>
  </si>
  <si>
    <t>RG ADAPT PE A RH 63*2 E</t>
  </si>
  <si>
    <t>000931</t>
  </si>
  <si>
    <t>'000931</t>
  </si>
  <si>
    <t>TUBERIA POLIETILENO 4 ATM 63MM E</t>
  </si>
  <si>
    <t>000940</t>
  </si>
  <si>
    <t>'000940</t>
  </si>
  <si>
    <t>VALVULA DE VASTAGO FIJO COMPLETA 2</t>
  </si>
  <si>
    <t>000941</t>
  </si>
  <si>
    <t>'000941</t>
  </si>
  <si>
    <t>VALVULA DE VASTAGO FIJO COMPLETA 3</t>
  </si>
  <si>
    <t>000942</t>
  </si>
  <si>
    <t>'000942</t>
  </si>
  <si>
    <t>VALVULA DE VASTAGO FIJO COMPLETO  4</t>
  </si>
  <si>
    <t>000943</t>
  </si>
  <si>
    <t>'000943</t>
  </si>
  <si>
    <t>VALVULA DE VASTAGO FIJO  COMPLETO 6</t>
  </si>
  <si>
    <t>000944</t>
  </si>
  <si>
    <t>'000944</t>
  </si>
  <si>
    <t>VALVULA DE VASTAGO FIJO COMPLETO  8</t>
  </si>
  <si>
    <t>000947</t>
  </si>
  <si>
    <t>'000947</t>
  </si>
  <si>
    <t>VALVULA MARIPOSA COMPLETO16</t>
  </si>
  <si>
    <t>000951</t>
  </si>
  <si>
    <t>'000951</t>
  </si>
  <si>
    <t>TUBO PVC SDR 26 CON JUNTA DE GOMA DE 6</t>
  </si>
  <si>
    <t>000952</t>
  </si>
  <si>
    <t>'000952</t>
  </si>
  <si>
    <t>TUBO PVC SDR 26 CON JUNTA DE GOMA DE 8</t>
  </si>
  <si>
    <t>000954</t>
  </si>
  <si>
    <t>'000954</t>
  </si>
  <si>
    <t>TUBO PVC SDR 26 CON JUNTA DE GOMA 16</t>
  </si>
  <si>
    <t>000955</t>
  </si>
  <si>
    <t>'000955</t>
  </si>
  <si>
    <t>TUBO PVC SDR 26 CON JUNTA DE GOMA DE 20</t>
  </si>
  <si>
    <t>000956</t>
  </si>
  <si>
    <t>'000956</t>
  </si>
  <si>
    <t>TUBO DE HIERRO NEGRO DE 2</t>
  </si>
  <si>
    <t>000959</t>
  </si>
  <si>
    <t>'000959</t>
  </si>
  <si>
    <t xml:space="preserve">TUBO DE HIERRO NEGRO DE 6 </t>
  </si>
  <si>
    <t>000966</t>
  </si>
  <si>
    <t>'000966</t>
  </si>
  <si>
    <t>MALLA PLASTICA DE SEGURIDAD 48"X 100FT</t>
  </si>
  <si>
    <t>000973</t>
  </si>
  <si>
    <t>'000973</t>
  </si>
  <si>
    <t xml:space="preserve">MEDIDORE DE AGUA DE TIPO MAGNUN 1 MARCA </t>
  </si>
  <si>
    <t>000977</t>
  </si>
  <si>
    <t>'000977</t>
  </si>
  <si>
    <t>CLIP TIPO YOYO PARA CARNET NEGRO</t>
  </si>
  <si>
    <t>001009</t>
  </si>
  <si>
    <t>'001009</t>
  </si>
  <si>
    <t xml:space="preserve">TAPA ALCANTARILLADO REDONDA C 250EN 124 </t>
  </si>
  <si>
    <t>001011</t>
  </si>
  <si>
    <t>'001011</t>
  </si>
  <si>
    <t>LAPICERO AZUL</t>
  </si>
  <si>
    <t>001012</t>
  </si>
  <si>
    <t>'001012</t>
  </si>
  <si>
    <t>LAPICERO NEGRO</t>
  </si>
  <si>
    <t>001013</t>
  </si>
  <si>
    <t>'001013</t>
  </si>
  <si>
    <t>LAPICERO ROJO</t>
  </si>
  <si>
    <t>001018</t>
  </si>
  <si>
    <t>'001018</t>
  </si>
  <si>
    <t>PLUMERO PARA LIMPIA</t>
  </si>
  <si>
    <t>001019</t>
  </si>
  <si>
    <t>'001019</t>
  </si>
  <si>
    <t>RECOGEDOR DE BASURA</t>
  </si>
  <si>
    <t>001020</t>
  </si>
  <si>
    <t>'001020</t>
  </si>
  <si>
    <t>CEPILLO DE MANO PARA PARE</t>
  </si>
  <si>
    <t>001044</t>
  </si>
  <si>
    <t>'001044</t>
  </si>
  <si>
    <t>CABLE VGA AGILER 6 PIES NEGRO AGI-134IM</t>
  </si>
  <si>
    <t>001045</t>
  </si>
  <si>
    <t>'001045</t>
  </si>
  <si>
    <t>CABLE DE PODER AGILER NEGRO POWER CORD</t>
  </si>
  <si>
    <t>001047</t>
  </si>
  <si>
    <t>'001047</t>
  </si>
  <si>
    <t>CEMENTO TANGIT PVC CHIQUITO 240</t>
  </si>
  <si>
    <t>001050</t>
  </si>
  <si>
    <t>'001050</t>
  </si>
  <si>
    <t>CUBO PARA LIMPIAR</t>
  </si>
  <si>
    <t>001063</t>
  </si>
  <si>
    <t>'001063</t>
  </si>
  <si>
    <t>VALVULAS DE BOLA DE 1</t>
  </si>
  <si>
    <t>001064</t>
  </si>
  <si>
    <t>'001064</t>
  </si>
  <si>
    <t>VENTOSAS DE HIERRO DE 3/4</t>
  </si>
  <si>
    <t>001067</t>
  </si>
  <si>
    <t>'001067</t>
  </si>
  <si>
    <t>VALVULAS CHECK HORIZONTAL DE 4</t>
  </si>
  <si>
    <t>001073</t>
  </si>
  <si>
    <t>'001073</t>
  </si>
  <si>
    <t>VALVULA DE BOLA GENEBRE DE 2</t>
  </si>
  <si>
    <t>001074</t>
  </si>
  <si>
    <t>'001074</t>
  </si>
  <si>
    <t>UNION UNIVERSAL NEGRA DE 2</t>
  </si>
  <si>
    <t>001092</t>
  </si>
  <si>
    <t>'001092</t>
  </si>
  <si>
    <t>CERADURA EN BRONCE</t>
  </si>
  <si>
    <t>001093</t>
  </si>
  <si>
    <t>'001093</t>
  </si>
  <si>
    <t>PANEL DE  DISTRIBUCION 4 A 89</t>
  </si>
  <si>
    <t>001097</t>
  </si>
  <si>
    <t>'001097</t>
  </si>
  <si>
    <t>PUENTE DE BATERIA DE 1 PIEZ</t>
  </si>
  <si>
    <t>001098</t>
  </si>
  <si>
    <t>'001098</t>
  </si>
  <si>
    <t>PUENTE BATERIA DE 3 PIEZ</t>
  </si>
  <si>
    <t>001107</t>
  </si>
  <si>
    <t>'001107</t>
  </si>
  <si>
    <t xml:space="preserve">ROSETA PORCELENA </t>
  </si>
  <si>
    <t>001108</t>
  </si>
  <si>
    <t>'001108</t>
  </si>
  <si>
    <t>TARUGOS 14*2 VERDE</t>
  </si>
  <si>
    <t>001109</t>
  </si>
  <si>
    <t>'001109</t>
  </si>
  <si>
    <t>TARUGO PLASTICO 3/8*2</t>
  </si>
  <si>
    <t>001118</t>
  </si>
  <si>
    <t>'001118</t>
  </si>
  <si>
    <t>ADAPTADORE H DE 3 PVC</t>
  </si>
  <si>
    <t>001120</t>
  </si>
  <si>
    <t>'001120</t>
  </si>
  <si>
    <t>REDUCCIONES DE 2 A 1/2 PVC</t>
  </si>
  <si>
    <t>001121</t>
  </si>
  <si>
    <t>'001121</t>
  </si>
  <si>
    <t xml:space="preserve">REDUCCIONES DE 4 A 2 </t>
  </si>
  <si>
    <t>001122</t>
  </si>
  <si>
    <t>'001122</t>
  </si>
  <si>
    <t>REDUCCIONES DE 2 A 3/4</t>
  </si>
  <si>
    <t>001127</t>
  </si>
  <si>
    <t>'001127</t>
  </si>
  <si>
    <t>NIPLE DE 1/2*12 PVC</t>
  </si>
  <si>
    <t>001128</t>
  </si>
  <si>
    <t>'001128</t>
  </si>
  <si>
    <t>NIPLE DE 1*12</t>
  </si>
  <si>
    <t>001130</t>
  </si>
  <si>
    <t>'001130</t>
  </si>
  <si>
    <t>NIPLE DE 4 *12</t>
  </si>
  <si>
    <t>001132</t>
  </si>
  <si>
    <t>'001132</t>
  </si>
  <si>
    <t>NIPLE 1/2*6</t>
  </si>
  <si>
    <t>001133</t>
  </si>
  <si>
    <t>'001133</t>
  </si>
  <si>
    <t>NIPLE DE 2*6</t>
  </si>
  <si>
    <t>001135</t>
  </si>
  <si>
    <t>'001135</t>
  </si>
  <si>
    <t>NIPLE 3/4*6</t>
  </si>
  <si>
    <t>001136</t>
  </si>
  <si>
    <t>'001136</t>
  </si>
  <si>
    <t>NIPLES 4*6</t>
  </si>
  <si>
    <t>001137</t>
  </si>
  <si>
    <t>'001137</t>
  </si>
  <si>
    <t>LLAVE DE CHORRO DE 1/2</t>
  </si>
  <si>
    <t>001141</t>
  </si>
  <si>
    <t>'001141</t>
  </si>
  <si>
    <t>LLAVE ANGULA DE 3/8</t>
  </si>
  <si>
    <t>001142</t>
  </si>
  <si>
    <t>'001142</t>
  </si>
  <si>
    <t>LLAVE DE PASO AZUL PVC DE 3/4</t>
  </si>
  <si>
    <t>001143</t>
  </si>
  <si>
    <t>'001143</t>
  </si>
  <si>
    <t>BOQUILLA PARA FREGADERO</t>
  </si>
  <si>
    <t>001146</t>
  </si>
  <si>
    <t>'001146</t>
  </si>
  <si>
    <t>KIT COMPLETO PARA TANQUE DE INODOROS</t>
  </si>
  <si>
    <t>001147</t>
  </si>
  <si>
    <t>'001147</t>
  </si>
  <si>
    <t>VASTAGO TIPO SAICO PARA LLAVE TEE DE EMP</t>
  </si>
  <si>
    <t>001148</t>
  </si>
  <si>
    <t>'001148</t>
  </si>
  <si>
    <t>DUCHAS   DE 1/2</t>
  </si>
  <si>
    <t>001149</t>
  </si>
  <si>
    <t>'001149</t>
  </si>
  <si>
    <t>CANALETA DE 1/2</t>
  </si>
  <si>
    <t>001153</t>
  </si>
  <si>
    <t>'001153</t>
  </si>
  <si>
    <t>CAJA BREAKER 4 CICUITOS</t>
  </si>
  <si>
    <t>001155</t>
  </si>
  <si>
    <t>'001155</t>
  </si>
  <si>
    <t xml:space="preserve">VARILLA DE COBRE </t>
  </si>
  <si>
    <t>001158</t>
  </si>
  <si>
    <t>'001158</t>
  </si>
  <si>
    <t>LETRERO AMARILLO DE PRECAUCIOM</t>
  </si>
  <si>
    <t>001161</t>
  </si>
  <si>
    <t>'001161</t>
  </si>
  <si>
    <t>DEGRASANTE MULTI USO AB 1/2</t>
  </si>
  <si>
    <t>001166</t>
  </si>
  <si>
    <t>'001166</t>
  </si>
  <si>
    <t>INTERRUPT DOBLE ELITE BLANCO</t>
  </si>
  <si>
    <t>001167</t>
  </si>
  <si>
    <t>'001167</t>
  </si>
  <si>
    <t>INTERRUP TRIPLE ELITE BLANCO</t>
  </si>
  <si>
    <t>001169</t>
  </si>
  <si>
    <t>'001169</t>
  </si>
  <si>
    <t>ALAMBRE 10 THHN AMERICANO</t>
  </si>
  <si>
    <t>001175</t>
  </si>
  <si>
    <t>'001175</t>
  </si>
  <si>
    <t>TUBO 1/2 PVC SDR 26 ELECTRICO</t>
  </si>
  <si>
    <t>001178</t>
  </si>
  <si>
    <t>'001178</t>
  </si>
  <si>
    <t>BISAGRA DE 8 PULGADA PAR</t>
  </si>
  <si>
    <t>001196</t>
  </si>
  <si>
    <t>'001196</t>
  </si>
  <si>
    <t>CODO HG DE 2*90</t>
  </si>
  <si>
    <t>001197</t>
  </si>
  <si>
    <t>'001197</t>
  </si>
  <si>
    <t>CODO HG DE 3*90</t>
  </si>
  <si>
    <t>001198</t>
  </si>
  <si>
    <t>'001198</t>
  </si>
  <si>
    <t>CODO HG DE 4*90</t>
  </si>
  <si>
    <t>001201</t>
  </si>
  <si>
    <t>'001201</t>
  </si>
  <si>
    <t>ADAPTADORE M PVC DE 3</t>
  </si>
  <si>
    <t>001202</t>
  </si>
  <si>
    <t>'001202</t>
  </si>
  <si>
    <t>ADAPTADORE H DE PVC DE 1</t>
  </si>
  <si>
    <t>001203</t>
  </si>
  <si>
    <t>'001203</t>
  </si>
  <si>
    <t>ADAPTADORE H PVC DE 2</t>
  </si>
  <si>
    <t>001204</t>
  </si>
  <si>
    <t>'001204</t>
  </si>
  <si>
    <t>REDUCCION PVC DE 3A 2</t>
  </si>
  <si>
    <t>001205</t>
  </si>
  <si>
    <t>'001205</t>
  </si>
  <si>
    <t>LLAVE MECANICA COMBINADA 6</t>
  </si>
  <si>
    <t>001206</t>
  </si>
  <si>
    <t>'001206</t>
  </si>
  <si>
    <t>LLAVE MECANICA COMBINADA 8</t>
  </si>
  <si>
    <t>001207</t>
  </si>
  <si>
    <t>'001207</t>
  </si>
  <si>
    <t>LLAVE  MECANICA  COMBINADA 10</t>
  </si>
  <si>
    <t>001213</t>
  </si>
  <si>
    <t>'001213</t>
  </si>
  <si>
    <t>TEE PVC DRENAJE 1 1/2</t>
  </si>
  <si>
    <t>001214</t>
  </si>
  <si>
    <t>'001214</t>
  </si>
  <si>
    <t>LLAVE MEZCLADA DE LAVAMANOS</t>
  </si>
  <si>
    <t>001215</t>
  </si>
  <si>
    <t>'001215</t>
  </si>
  <si>
    <t>LLAVE SENCILLA PARA LAVAMANO</t>
  </si>
  <si>
    <t>001217</t>
  </si>
  <si>
    <t>'001217</t>
  </si>
  <si>
    <t xml:space="preserve">LAVAMANO BLANCO SENCILLO </t>
  </si>
  <si>
    <t>001218</t>
  </si>
  <si>
    <t>'001218</t>
  </si>
  <si>
    <t>INODORO COMPLETO BLANCO SENCILLO</t>
  </si>
  <si>
    <t>001219</t>
  </si>
  <si>
    <t>'001219</t>
  </si>
  <si>
    <t>PARRILLA DE PISO 1 1/2</t>
  </si>
  <si>
    <t>001220</t>
  </si>
  <si>
    <t>'001220</t>
  </si>
  <si>
    <t>PUÑO DE BAÑO T SAYCO</t>
  </si>
  <si>
    <t>001221</t>
  </si>
  <si>
    <t>'001221</t>
  </si>
  <si>
    <t xml:space="preserve">SILICONE TRAPARENTE DE PISTOLA </t>
  </si>
  <si>
    <t>001223</t>
  </si>
  <si>
    <t>'001223</t>
  </si>
  <si>
    <t xml:space="preserve">PAR DE PALOMETA PARA LAVAMANO </t>
  </si>
  <si>
    <t>001224</t>
  </si>
  <si>
    <t>'001224</t>
  </si>
  <si>
    <t>SIFON SENCILLO LAVAMANO</t>
  </si>
  <si>
    <t>001225</t>
  </si>
  <si>
    <t>'001225</t>
  </si>
  <si>
    <t xml:space="preserve">VASTAGO GENERICO LAVAMANO T/SAYCO </t>
  </si>
  <si>
    <t>001226</t>
  </si>
  <si>
    <t>'001226</t>
  </si>
  <si>
    <t>TAPA PARA TANQUE DE INODORO SENCILLO</t>
  </si>
  <si>
    <t>001227</t>
  </si>
  <si>
    <t>'001227</t>
  </si>
  <si>
    <t>NIPLE HG DE 2*12</t>
  </si>
  <si>
    <t>001229</t>
  </si>
  <si>
    <t>'001229</t>
  </si>
  <si>
    <t>CAJA DE TUBO DE 17 W</t>
  </si>
  <si>
    <t>001230</t>
  </si>
  <si>
    <t>'001230</t>
  </si>
  <si>
    <t>OJO BUEY DE 50 W COM LUS BLANCA</t>
  </si>
  <si>
    <t>001231</t>
  </si>
  <si>
    <t>'001231</t>
  </si>
  <si>
    <t>OJO BUEY DE 50 W CON LUS AMARILLA</t>
  </si>
  <si>
    <t>001234</t>
  </si>
  <si>
    <t>'001234</t>
  </si>
  <si>
    <t xml:space="preserve">COLITA </t>
  </si>
  <si>
    <t>001235</t>
  </si>
  <si>
    <t>'001235</t>
  </si>
  <si>
    <t>TIJERA P JARDIN</t>
  </si>
  <si>
    <t>001240</t>
  </si>
  <si>
    <t>'001240</t>
  </si>
  <si>
    <t>LAMPARA LED REDONDA 18W BLANCA</t>
  </si>
  <si>
    <t>001248</t>
  </si>
  <si>
    <t>'001248</t>
  </si>
  <si>
    <t>CANALETA DE PISO 10 PIES</t>
  </si>
  <si>
    <t>001250</t>
  </si>
  <si>
    <t>'001250</t>
  </si>
  <si>
    <t>BREAKE FINO 30 AMP</t>
  </si>
  <si>
    <t>001274</t>
  </si>
  <si>
    <t>'001274</t>
  </si>
  <si>
    <t>ALAMBRE VINIL 14/3 PIE</t>
  </si>
  <si>
    <t>001278</t>
  </si>
  <si>
    <t>'001278</t>
  </si>
  <si>
    <t>001287</t>
  </si>
  <si>
    <t>'001287</t>
  </si>
  <si>
    <t>ABRAZADERA INISTRUTDE DEV 1 1/2</t>
  </si>
  <si>
    <t>001291</t>
  </si>
  <si>
    <t>'001291</t>
  </si>
  <si>
    <t>TERMINALES TIPO OJO PARA CABLE</t>
  </si>
  <si>
    <t>001295</t>
  </si>
  <si>
    <t>'001295</t>
  </si>
  <si>
    <t>CONTACTOR TRFASICO A 230 V SC3</t>
  </si>
  <si>
    <t>001302</t>
  </si>
  <si>
    <t>'001302</t>
  </si>
  <si>
    <t>CAJA ELECTRICA REFORZADA DE 2*4 CON ORIF</t>
  </si>
  <si>
    <t>001305</t>
  </si>
  <si>
    <t>'001305</t>
  </si>
  <si>
    <t>INTERRUPTO SIMPLE</t>
  </si>
  <si>
    <t>001318</t>
  </si>
  <si>
    <t>'001318</t>
  </si>
  <si>
    <t>BREAKERS TIPO DOBLE 15A</t>
  </si>
  <si>
    <t>001321</t>
  </si>
  <si>
    <t>'001321</t>
  </si>
  <si>
    <t>ABRAZADERA DE 2</t>
  </si>
  <si>
    <t>001329</t>
  </si>
  <si>
    <t>'001329</t>
  </si>
  <si>
    <t>TAPE DE GOMA</t>
  </si>
  <si>
    <t>001346</t>
  </si>
  <si>
    <t>'001346</t>
  </si>
  <si>
    <t>TEE HG DE 2</t>
  </si>
  <si>
    <t>001348</t>
  </si>
  <si>
    <t>'001348</t>
  </si>
  <si>
    <t>ADAPTADOR H PVC DE 1 1/2</t>
  </si>
  <si>
    <t>001364</t>
  </si>
  <si>
    <t>'001364</t>
  </si>
  <si>
    <t>BASE DE 8 PIN PARA CONTROL</t>
  </si>
  <si>
    <t>001398</t>
  </si>
  <si>
    <t>'001398</t>
  </si>
  <si>
    <t>UNIOM UNIVESAL HN DE 2</t>
  </si>
  <si>
    <t>001416</t>
  </si>
  <si>
    <t>'001416</t>
  </si>
  <si>
    <t xml:space="preserve">AMBIANTADOR P DISPENSADOR GLADE </t>
  </si>
  <si>
    <t>001426</t>
  </si>
  <si>
    <t>'001426</t>
  </si>
  <si>
    <t>TORNILLO AC HEX TUERCA GRS 1/2*1</t>
  </si>
  <si>
    <t>001427</t>
  </si>
  <si>
    <t>'001427</t>
  </si>
  <si>
    <t>TORNILLO AC HEX TUERCA GRIS 1/2*3</t>
  </si>
  <si>
    <t>001428</t>
  </si>
  <si>
    <t>'001428</t>
  </si>
  <si>
    <t>TORNILLO AC HEX TUERCA GRS 1/2*4</t>
  </si>
  <si>
    <t>001430</t>
  </si>
  <si>
    <t>'001430</t>
  </si>
  <si>
    <t>ARANDELA PLANA  DE 3/4</t>
  </si>
  <si>
    <t>001432</t>
  </si>
  <si>
    <t>'001432</t>
  </si>
  <si>
    <t>PLANCHUELA 3/6*1-1/2</t>
  </si>
  <si>
    <t>001433</t>
  </si>
  <si>
    <t>'001433</t>
  </si>
  <si>
    <t>CODO GALV DE 1</t>
  </si>
  <si>
    <t>001434</t>
  </si>
  <si>
    <t>'001434</t>
  </si>
  <si>
    <t>CODO GALV DE 1/2</t>
  </si>
  <si>
    <t>001435</t>
  </si>
  <si>
    <t>'001435</t>
  </si>
  <si>
    <t>CODO GALV DE 2</t>
  </si>
  <si>
    <t>001439</t>
  </si>
  <si>
    <t>'001439</t>
  </si>
  <si>
    <t>TEE GALV DE 3</t>
  </si>
  <si>
    <t>001440</t>
  </si>
  <si>
    <t>'001440</t>
  </si>
  <si>
    <t>TEE GALV DE 4</t>
  </si>
  <si>
    <t>001443</t>
  </si>
  <si>
    <t>'001443</t>
  </si>
  <si>
    <t>NIPLE GALV DE 3/4*12</t>
  </si>
  <si>
    <t>001445</t>
  </si>
  <si>
    <t>'001445</t>
  </si>
  <si>
    <t>NIPLE GALV DE 1*6</t>
  </si>
  <si>
    <t>001447</t>
  </si>
  <si>
    <t>'001447</t>
  </si>
  <si>
    <t>NIPLE GALV 2*6</t>
  </si>
  <si>
    <t>001448</t>
  </si>
  <si>
    <t>'001448</t>
  </si>
  <si>
    <t>NIPLE GALV DE 3*6</t>
  </si>
  <si>
    <t>001449</t>
  </si>
  <si>
    <t>'001449</t>
  </si>
  <si>
    <t>NIPLE GALV 3/4*6</t>
  </si>
  <si>
    <t>001455</t>
  </si>
  <si>
    <t>'001455</t>
  </si>
  <si>
    <t>PLANCHUELA 1/8*1</t>
  </si>
  <si>
    <t>001458</t>
  </si>
  <si>
    <t>'001458</t>
  </si>
  <si>
    <t>BREAKERS GRUESO DE 60 AMPERES DOBLE</t>
  </si>
  <si>
    <t>001460</t>
  </si>
  <si>
    <t>'001460</t>
  </si>
  <si>
    <t>LETRA LB PARA TUBO MT</t>
  </si>
  <si>
    <t>001461</t>
  </si>
  <si>
    <t>'001461</t>
  </si>
  <si>
    <t>LETRA LL PARA TUBO MT</t>
  </si>
  <si>
    <t>001464</t>
  </si>
  <si>
    <t>'001464</t>
  </si>
  <si>
    <t xml:space="preserve">TORNILLO DIABLITO DE 1 1/2 </t>
  </si>
  <si>
    <t>001467</t>
  </si>
  <si>
    <t>'001467</t>
  </si>
  <si>
    <t>TORNILLO DIABLITO DE 2</t>
  </si>
  <si>
    <t>001470</t>
  </si>
  <si>
    <t>'001470</t>
  </si>
  <si>
    <t>BISAGRA SODABLE DE ACERO</t>
  </si>
  <si>
    <t>001478</t>
  </si>
  <si>
    <t>'001478</t>
  </si>
  <si>
    <t>CLAVO CORRIENTE DE 2</t>
  </si>
  <si>
    <t>001482</t>
  </si>
  <si>
    <t>'001482</t>
  </si>
  <si>
    <t>BARRA ROSCADA 3/4</t>
  </si>
  <si>
    <t>001487</t>
  </si>
  <si>
    <t>'001487</t>
  </si>
  <si>
    <t>CODO DE 6</t>
  </si>
  <si>
    <t>001488</t>
  </si>
  <si>
    <t>'001488</t>
  </si>
  <si>
    <t>TUBO DE 4 HN</t>
  </si>
  <si>
    <t>001490</t>
  </si>
  <si>
    <t>'001490</t>
  </si>
  <si>
    <t>TUBO DE 16 HN</t>
  </si>
  <si>
    <t>001491</t>
  </si>
  <si>
    <t>'001491</t>
  </si>
  <si>
    <t>TUBO DE 3 HN</t>
  </si>
  <si>
    <t>001492</t>
  </si>
  <si>
    <t>'001492</t>
  </si>
  <si>
    <t>ROLLO DE CONDUFLEX DE 3/4</t>
  </si>
  <si>
    <t>001499</t>
  </si>
  <si>
    <t>'001499</t>
  </si>
  <si>
    <t>CERRADURA DE ANCLAJE A PISO PARA CRISTAL</t>
  </si>
  <si>
    <t>001500</t>
  </si>
  <si>
    <t>'001500</t>
  </si>
  <si>
    <t xml:space="preserve">CERRADURA REDONDA PARA PUERTA DE CRITAL </t>
  </si>
  <si>
    <t>001505</t>
  </si>
  <si>
    <t>'001505</t>
  </si>
  <si>
    <t>ESCUADRA</t>
  </si>
  <si>
    <t>001526</t>
  </si>
  <si>
    <t>'001526</t>
  </si>
  <si>
    <t>TUBO PVC 6 SDR 41 AGUA RES.</t>
  </si>
  <si>
    <t>001527</t>
  </si>
  <si>
    <t>'001527</t>
  </si>
  <si>
    <t xml:space="preserve"> VARILLA DE 1/2</t>
  </si>
  <si>
    <t>001528</t>
  </si>
  <si>
    <t>'001528</t>
  </si>
  <si>
    <t xml:space="preserve">METRO DE ARENA PAÑETE </t>
  </si>
  <si>
    <t>001532</t>
  </si>
  <si>
    <t>'001532</t>
  </si>
  <si>
    <t xml:space="preserve">HIDRANTE DE 4" CON ROSCAS, 2 SALIDAS DE </t>
  </si>
  <si>
    <t>001535</t>
  </si>
  <si>
    <t>'001535</t>
  </si>
  <si>
    <t xml:space="preserve">BREAKERS FINO DE 30 AMPERES DOBLE </t>
  </si>
  <si>
    <t>001549</t>
  </si>
  <si>
    <t>'001549</t>
  </si>
  <si>
    <t xml:space="preserve">RESMA DE HOJA TIMBRA 8 1/2X11 </t>
  </si>
  <si>
    <t>001554</t>
  </si>
  <si>
    <t>'001554</t>
  </si>
  <si>
    <t>CLORO TRICLORO PASTILLAS 90% TARRO (250/</t>
  </si>
  <si>
    <t>001560</t>
  </si>
  <si>
    <t>'001560</t>
  </si>
  <si>
    <t>TARUGO EXPANS. C/TORN. 5/16X2 1/2 M8</t>
  </si>
  <si>
    <t>001562</t>
  </si>
  <si>
    <t>'001562</t>
  </si>
  <si>
    <t>TUERCA 5/8 R/GRUESA NC</t>
  </si>
  <si>
    <t>001564</t>
  </si>
  <si>
    <t>'001564</t>
  </si>
  <si>
    <t>GARRAFON DE CLORO 2.5 GL</t>
  </si>
  <si>
    <t>001565</t>
  </si>
  <si>
    <t>'001565</t>
  </si>
  <si>
    <t>DESINFECTANTE GL</t>
  </si>
  <si>
    <t>001582</t>
  </si>
  <si>
    <t>'001582</t>
  </si>
  <si>
    <t xml:space="preserve">TUERKA HKXG 1/2 </t>
  </si>
  <si>
    <t>001623</t>
  </si>
  <si>
    <t>'001623</t>
  </si>
  <si>
    <t>TUBO PVC SDR 26 CON JUNTA DE GOMA 10</t>
  </si>
  <si>
    <t>001626</t>
  </si>
  <si>
    <t>'001626</t>
  </si>
  <si>
    <t>LIMPIADOR DE ECO BLUE</t>
  </si>
  <si>
    <t>001627</t>
  </si>
  <si>
    <t>'001627</t>
  </si>
  <si>
    <t>ACEITE TANQUE KENDALL 15W-40 SUPER D-3 S</t>
  </si>
  <si>
    <t>001628</t>
  </si>
  <si>
    <t>'001628</t>
  </si>
  <si>
    <t>GOMAS 205-14-8L MAXXIS MCV5 8PR TL 109/1</t>
  </si>
  <si>
    <t>001629</t>
  </si>
  <si>
    <t>'001629</t>
  </si>
  <si>
    <t>COOLANT STAR COOL</t>
  </si>
  <si>
    <t>001647</t>
  </si>
  <si>
    <t>'001647</t>
  </si>
  <si>
    <t>ALAMBRE #12 THHN AMERICANO</t>
  </si>
  <si>
    <t>001680</t>
  </si>
  <si>
    <t>'001680</t>
  </si>
  <si>
    <t>LIBRA DE VARILLA DE SOLDAR  3/32 &amp; 1/8</t>
  </si>
  <si>
    <t>001705</t>
  </si>
  <si>
    <t>'001705</t>
  </si>
  <si>
    <t xml:space="preserve">VALVULA DE ENTRADA </t>
  </si>
  <si>
    <t>001706</t>
  </si>
  <si>
    <t>'001706</t>
  </si>
  <si>
    <t>PERA P/INODORO AZUL</t>
  </si>
  <si>
    <t>001707</t>
  </si>
  <si>
    <t>'001707</t>
  </si>
  <si>
    <t xml:space="preserve">LLAVE ANGULAR 3/8X 3/8 </t>
  </si>
  <si>
    <t>001708</t>
  </si>
  <si>
    <t>'001708</t>
  </si>
  <si>
    <t>LLAVE ANGULAR DOBLE 1/2</t>
  </si>
  <si>
    <t>001709</t>
  </si>
  <si>
    <t>'001709</t>
  </si>
  <si>
    <t>LLAVE ANGULAR DOBLE 3/8</t>
  </si>
  <si>
    <t>001710</t>
  </si>
  <si>
    <t>'001710</t>
  </si>
  <si>
    <t>SIFON DOBLE P/FREGADRO EASTMANT</t>
  </si>
  <si>
    <t>001713</t>
  </si>
  <si>
    <t>'001713</t>
  </si>
  <si>
    <t>PUÑO NIBCO GRANDE (BAÑO)</t>
  </si>
  <si>
    <t>001714</t>
  </si>
  <si>
    <t>'001714</t>
  </si>
  <si>
    <t>PUÑO NIBCO URREA PEQUEÑO PARA BAÑO</t>
  </si>
  <si>
    <t>001715</t>
  </si>
  <si>
    <t>'001715</t>
  </si>
  <si>
    <t>LLAVE ANGULAR KARO 1/2X3/8</t>
  </si>
  <si>
    <t>001716</t>
  </si>
  <si>
    <t>'001716</t>
  </si>
  <si>
    <t>VALVULA SALIDA P/INODORO</t>
  </si>
  <si>
    <t>001717</t>
  </si>
  <si>
    <t>'001717</t>
  </si>
  <si>
    <t>CHEQUE VERTICAL 1-1/2</t>
  </si>
  <si>
    <t>001722</t>
  </si>
  <si>
    <t>'001722</t>
  </si>
  <si>
    <t>LIMPIA CRISTALES</t>
  </si>
  <si>
    <t>001723</t>
  </si>
  <si>
    <t>'001723</t>
  </si>
  <si>
    <t>CABEZOTES PLOMO</t>
  </si>
  <si>
    <t>001727</t>
  </si>
  <si>
    <t>'001727</t>
  </si>
  <si>
    <t>NIPLE GALV 1/2 HG</t>
  </si>
  <si>
    <t>001731</t>
  </si>
  <si>
    <t>'001731</t>
  </si>
  <si>
    <t>PLANCHUELA 1 1/4* 3/16</t>
  </si>
  <si>
    <t>001733</t>
  </si>
  <si>
    <t>'001733</t>
  </si>
  <si>
    <t>VISAGRA DE 6" PULGADA PAR</t>
  </si>
  <si>
    <t>001736</t>
  </si>
  <si>
    <t>'001736</t>
  </si>
  <si>
    <t>REDUCCION BUSHING DE 1 A 3/4</t>
  </si>
  <si>
    <t>001739</t>
  </si>
  <si>
    <t>'001739</t>
  </si>
  <si>
    <t>PAQUETE DE CINTA DE AMARRE TIRRAP (25 UN</t>
  </si>
  <si>
    <t>001752</t>
  </si>
  <si>
    <t>'001752</t>
  </si>
  <si>
    <t>TORNILLO PARA CG</t>
  </si>
  <si>
    <t>001758</t>
  </si>
  <si>
    <t>'001758</t>
  </si>
  <si>
    <t>ROLLO TERMICO 3 1/8</t>
  </si>
  <si>
    <t>001762</t>
  </si>
  <si>
    <t>'001762</t>
  </si>
  <si>
    <t>VINAGRE BLANCO</t>
  </si>
  <si>
    <t>001781</t>
  </si>
  <si>
    <t>'001781</t>
  </si>
  <si>
    <t>TORNILLO SHEET ROCK ESTRUC. 6MM X 1 1/4</t>
  </si>
  <si>
    <t>001782</t>
  </si>
  <si>
    <t>'001782</t>
  </si>
  <si>
    <t>TORN ESTRUCTC. TRACKS 7X7M6 GRIP RITE</t>
  </si>
  <si>
    <t>001823</t>
  </si>
  <si>
    <t>'001823</t>
  </si>
  <si>
    <t>MARCADORES DE PIZARRA ROJO</t>
  </si>
  <si>
    <t>001826</t>
  </si>
  <si>
    <t>'001826</t>
  </si>
  <si>
    <t>CAJA DE PAPEL CONTINUO 8.5 X11</t>
  </si>
  <si>
    <t>001828</t>
  </si>
  <si>
    <t>'001828</t>
  </si>
  <si>
    <t>ROLLO DE SUMADORA DE 2 1/4</t>
  </si>
  <si>
    <t>001829</t>
  </si>
  <si>
    <t>'001829</t>
  </si>
  <si>
    <t xml:space="preserve">CAJA DE GRAPAS DE 50 HOJAS </t>
  </si>
  <si>
    <t>001831</t>
  </si>
  <si>
    <t>'001831</t>
  </si>
  <si>
    <t xml:space="preserve">GRAPADORAS MEDIANAS </t>
  </si>
  <si>
    <t>001838</t>
  </si>
  <si>
    <t>'001838</t>
  </si>
  <si>
    <t>CEPILLO P/INODORO CON BASE</t>
  </si>
  <si>
    <t>001856</t>
  </si>
  <si>
    <t>'001856</t>
  </si>
  <si>
    <t>BAJANTE DE MADERA 2*3*14</t>
  </si>
  <si>
    <t>001893</t>
  </si>
  <si>
    <t>'001893</t>
  </si>
  <si>
    <t>COPA GALV 1/2"X1/4"</t>
  </si>
  <si>
    <t>001902</t>
  </si>
  <si>
    <t>'001902</t>
  </si>
  <si>
    <t>REDUCCION COPA DE 1/2 A 1/4</t>
  </si>
  <si>
    <t>001904</t>
  </si>
  <si>
    <t>'001904</t>
  </si>
  <si>
    <t>NIPLE HG 2" X 4"</t>
  </si>
  <si>
    <t>001906</t>
  </si>
  <si>
    <t>'001906</t>
  </si>
  <si>
    <t>CHEQUE HORIZONTAL 2"</t>
  </si>
  <si>
    <t>001928</t>
  </si>
  <si>
    <t>'001928</t>
  </si>
  <si>
    <t xml:space="preserve">CONTROL INTERNO DIARIO PLANTA LA DURA </t>
  </si>
  <si>
    <t>001929</t>
  </si>
  <si>
    <t>'001929</t>
  </si>
  <si>
    <t xml:space="preserve">CARPETAS TROQUELADAS </t>
  </si>
  <si>
    <t>001934</t>
  </si>
  <si>
    <t>'001934</t>
  </si>
  <si>
    <t>LLAVE BOLA PASO PVC SIN ROSCA  1 1/2</t>
  </si>
  <si>
    <t>001936</t>
  </si>
  <si>
    <t>'001936</t>
  </si>
  <si>
    <t xml:space="preserve">LAVAMANOS PEDESTAL </t>
  </si>
  <si>
    <t>001937</t>
  </si>
  <si>
    <t>'001937</t>
  </si>
  <si>
    <t>BOQUILLA LAVADERO</t>
  </si>
  <si>
    <t>001939</t>
  </si>
  <si>
    <t>'001939</t>
  </si>
  <si>
    <t>SIFON PVC DRENAJE 2 SENCILLO</t>
  </si>
  <si>
    <t>001940</t>
  </si>
  <si>
    <t>'001940</t>
  </si>
  <si>
    <t xml:space="preserve">EPOXI FUSION </t>
  </si>
  <si>
    <t>001951</t>
  </si>
  <si>
    <t>'001951</t>
  </si>
  <si>
    <t>ANILLO COUPLING 1/2</t>
  </si>
  <si>
    <t>001954</t>
  </si>
  <si>
    <t>'001954</t>
  </si>
  <si>
    <t xml:space="preserve">CUTTER NAVAJA </t>
  </si>
  <si>
    <t>001955</t>
  </si>
  <si>
    <t>'001955</t>
  </si>
  <si>
    <t xml:space="preserve">LLANA DE MADERA </t>
  </si>
  <si>
    <t>001961</t>
  </si>
  <si>
    <t>'001961</t>
  </si>
  <si>
    <t>PRENSA 6"</t>
  </si>
  <si>
    <t>001964</t>
  </si>
  <si>
    <t>'001964</t>
  </si>
  <si>
    <t>MECHA DE 3/16"</t>
  </si>
  <si>
    <t>001965</t>
  </si>
  <si>
    <t>'001965</t>
  </si>
  <si>
    <t>DISCO CORTE 14"</t>
  </si>
  <si>
    <t>001967</t>
  </si>
  <si>
    <t>'001967</t>
  </si>
  <si>
    <t>REMACHADORA 10"</t>
  </si>
  <si>
    <t>001968</t>
  </si>
  <si>
    <t>'001968</t>
  </si>
  <si>
    <t>RASTRILLO METAL</t>
  </si>
  <si>
    <t>001973</t>
  </si>
  <si>
    <t>'001973</t>
  </si>
  <si>
    <t xml:space="preserve">GALON DE PINTURA AZUL ALBA </t>
  </si>
  <si>
    <t>001975</t>
  </si>
  <si>
    <t>'001975</t>
  </si>
  <si>
    <t>GALON DE PINTURA MARMOL SEMIGLOSS</t>
  </si>
  <si>
    <t>001978</t>
  </si>
  <si>
    <t>'001978</t>
  </si>
  <si>
    <t xml:space="preserve">GALON DE PINTURA AZUL ROYAL </t>
  </si>
  <si>
    <t>001979</t>
  </si>
  <si>
    <t>'001979</t>
  </si>
  <si>
    <t xml:space="preserve">GALON DE PINTURA NEGRO MATE ESMALTE </t>
  </si>
  <si>
    <t>001980</t>
  </si>
  <si>
    <t>'001980</t>
  </si>
  <si>
    <t xml:space="preserve">GALON DE PINTURA AZUL POSITIVO </t>
  </si>
  <si>
    <t>001987</t>
  </si>
  <si>
    <t>'001987</t>
  </si>
  <si>
    <t xml:space="preserve">GALON  DE PINTURA AMARILLO TRAFICO </t>
  </si>
  <si>
    <t>001990</t>
  </si>
  <si>
    <t>'001990</t>
  </si>
  <si>
    <t xml:space="preserve">LLAVE DE PASO PARA INODORO SENCILLA </t>
  </si>
  <si>
    <t>001991</t>
  </si>
  <si>
    <t>'001991</t>
  </si>
  <si>
    <t xml:space="preserve">LLAVE DE PASO PARA INODORO DOBLE </t>
  </si>
  <si>
    <t>001992</t>
  </si>
  <si>
    <t>'001992</t>
  </si>
  <si>
    <t xml:space="preserve">KIT DE SIFON  PARA FREGADERO DOBLE </t>
  </si>
  <si>
    <t>001993</t>
  </si>
  <si>
    <t>'001993</t>
  </si>
  <si>
    <t xml:space="preserve">SELLA TANQUE EPOXICO </t>
  </si>
  <si>
    <t>001994</t>
  </si>
  <si>
    <t>'001994</t>
  </si>
  <si>
    <t xml:space="preserve">LLAVES PARA EMPOTRAR DUCHA </t>
  </si>
  <si>
    <t>001995</t>
  </si>
  <si>
    <t>'001995</t>
  </si>
  <si>
    <t>GRAPA PARA CABLE DE ACERO 1/2</t>
  </si>
  <si>
    <t>001996</t>
  </si>
  <si>
    <t>'001996</t>
  </si>
  <si>
    <t xml:space="preserve">GRAPA PARA CABLE DE ACERO 3/4 </t>
  </si>
  <si>
    <t>002000</t>
  </si>
  <si>
    <t>'002000</t>
  </si>
  <si>
    <t xml:space="preserve">TORNILLO DIABLITO DE 1 </t>
  </si>
  <si>
    <t>002002</t>
  </si>
  <si>
    <t>'002002</t>
  </si>
  <si>
    <t>TORNILLO HEXAGONAL CON TUERCA 5/8*3</t>
  </si>
  <si>
    <t>002003</t>
  </si>
  <si>
    <t>'002003</t>
  </si>
  <si>
    <t>TORNILLO HEXAGONAL  CON TUERCA 5/8*4</t>
  </si>
  <si>
    <t>002004</t>
  </si>
  <si>
    <t>'002004</t>
  </si>
  <si>
    <t xml:space="preserve">TORNILLO HEXAGONAL CON TUERCA 5/16*1 </t>
  </si>
  <si>
    <t>002005</t>
  </si>
  <si>
    <t>'002005</t>
  </si>
  <si>
    <t>TORNILLO HEXAGONAL CON TUERCA 3/4*4</t>
  </si>
  <si>
    <t>002006</t>
  </si>
  <si>
    <t>'002006</t>
  </si>
  <si>
    <t>ANCLAJE DE UÑA CHAPADO EN ZINC 1/2*3</t>
  </si>
  <si>
    <t>002007</t>
  </si>
  <si>
    <t>'002007</t>
  </si>
  <si>
    <t>ANCLAJE DE UÑA CHAPADO EN ZINC 1/2*5 1/2</t>
  </si>
  <si>
    <t>002008</t>
  </si>
  <si>
    <t>'002008</t>
  </si>
  <si>
    <t xml:space="preserve">ANCLAJE DE UÑA CHAPADO EN ZINC 3/8*3 </t>
  </si>
  <si>
    <t>002009</t>
  </si>
  <si>
    <t>'002009</t>
  </si>
  <si>
    <t xml:space="preserve">TIRAFON 5/16*11/2 CABEZA DE LLAVE </t>
  </si>
  <si>
    <t>002010</t>
  </si>
  <si>
    <t>'002010</t>
  </si>
  <si>
    <t xml:space="preserve">TIRAFON 5/16*1 CABEZA DE LLAVE </t>
  </si>
  <si>
    <t>002011</t>
  </si>
  <si>
    <t>'002011</t>
  </si>
  <si>
    <t xml:space="preserve">TIRAFON 3/8 * 11/2 </t>
  </si>
  <si>
    <t>002013</t>
  </si>
  <si>
    <t>'002013</t>
  </si>
  <si>
    <t>TORNILLO TIRAFON 10 POR 1"</t>
  </si>
  <si>
    <t>002014</t>
  </si>
  <si>
    <t>'002014</t>
  </si>
  <si>
    <t xml:space="preserve">TORNILLO TIFON DE 10 A 2" </t>
  </si>
  <si>
    <t>002015</t>
  </si>
  <si>
    <t>'002015</t>
  </si>
  <si>
    <t>TORNILLO TIRAFON 8 DE 2"</t>
  </si>
  <si>
    <t>002016</t>
  </si>
  <si>
    <t>'002016</t>
  </si>
  <si>
    <t>TORNILLO TIRAFON 8 DE 11/2"</t>
  </si>
  <si>
    <t>002017</t>
  </si>
  <si>
    <t>'002017</t>
  </si>
  <si>
    <t xml:space="preserve">TORNILLO TIRAFON 8 DE 1" </t>
  </si>
  <si>
    <t>002018</t>
  </si>
  <si>
    <t>'002018</t>
  </si>
  <si>
    <t>LAMPARA LED DE POSTER CON BASE Y PANEL I</t>
  </si>
  <si>
    <t>002019</t>
  </si>
  <si>
    <t>'002019</t>
  </si>
  <si>
    <t xml:space="preserve">BREAKERS DE 50 APERE FINO </t>
  </si>
  <si>
    <t>002020</t>
  </si>
  <si>
    <t>'002020</t>
  </si>
  <si>
    <t xml:space="preserve">BREAKERS DE 50 APERE GRUESO </t>
  </si>
  <si>
    <t>002025</t>
  </si>
  <si>
    <t>'002025</t>
  </si>
  <si>
    <t>TIRAFON 3/8*1</t>
  </si>
  <si>
    <t>002026</t>
  </si>
  <si>
    <t>'002026</t>
  </si>
  <si>
    <t>TORNILLO TIRAFON 10 DE 11/2</t>
  </si>
  <si>
    <t>002033</t>
  </si>
  <si>
    <t>'002033</t>
  </si>
  <si>
    <t>TUERCA 3/4 INOXIDABLE</t>
  </si>
  <si>
    <t>002035</t>
  </si>
  <si>
    <t>'002035</t>
  </si>
  <si>
    <t xml:space="preserve">PATA DE CHIVO PARA PUERTA </t>
  </si>
  <si>
    <t>002038</t>
  </si>
  <si>
    <t>'002038</t>
  </si>
  <si>
    <t xml:space="preserve">ALAMBRE PICADO </t>
  </si>
  <si>
    <t>002040</t>
  </si>
  <si>
    <t>'002040</t>
  </si>
  <si>
    <t>TUBO GALV MALLA 1.15 MM 1-1/2</t>
  </si>
  <si>
    <t>002045</t>
  </si>
  <si>
    <t>'002045</t>
  </si>
  <si>
    <t>ABRAZADERA EMT 3</t>
  </si>
  <si>
    <t>002046</t>
  </si>
  <si>
    <t>'002046</t>
  </si>
  <si>
    <t>TORNILLO PASANTE 5/8 X 10</t>
  </si>
  <si>
    <t>002048</t>
  </si>
  <si>
    <t>'002048</t>
  </si>
  <si>
    <t>TUBO HG 12"</t>
  </si>
  <si>
    <t>002054</t>
  </si>
  <si>
    <t>'002054</t>
  </si>
  <si>
    <t>TUBO ACERO 10"</t>
  </si>
  <si>
    <t>002055</t>
  </si>
  <si>
    <t>'002055</t>
  </si>
  <si>
    <t>TUBO DE ACERO 24"</t>
  </si>
  <si>
    <t>002058</t>
  </si>
  <si>
    <t>'002058</t>
  </si>
  <si>
    <t xml:space="preserve">LENTES DE SEGURIDAD </t>
  </si>
  <si>
    <t>002061</t>
  </si>
  <si>
    <t>'002061</t>
  </si>
  <si>
    <t>CINTA ANTIDESLIZANTE NEGRA 50MM</t>
  </si>
  <si>
    <t>002062</t>
  </si>
  <si>
    <t>'002062</t>
  </si>
  <si>
    <t xml:space="preserve">TANGIT 475 CONDUIT MICROMEDICION </t>
  </si>
  <si>
    <t>002063</t>
  </si>
  <si>
    <t>'002063</t>
  </si>
  <si>
    <t xml:space="preserve">TANGIT 240 ML CONDUIT MICROMEDICION </t>
  </si>
  <si>
    <t>002065</t>
  </si>
  <si>
    <t>'002065</t>
  </si>
  <si>
    <t xml:space="preserve">FILTRO REOPUESTO DE MASCARILLA </t>
  </si>
  <si>
    <t>002072</t>
  </si>
  <si>
    <t>'002072</t>
  </si>
  <si>
    <t>TUBO ACERO 20"</t>
  </si>
  <si>
    <t>002100</t>
  </si>
  <si>
    <t>'002100</t>
  </si>
  <si>
    <t xml:space="preserve">LLAVE STILSON 8 </t>
  </si>
  <si>
    <t>002101</t>
  </si>
  <si>
    <t>'002101</t>
  </si>
  <si>
    <t xml:space="preserve">CINCEL PARA MARTILLO DEMOLEDOR </t>
  </si>
  <si>
    <t>002102</t>
  </si>
  <si>
    <t>'002102</t>
  </si>
  <si>
    <t>CIZALLA 12"</t>
  </si>
  <si>
    <t>002103</t>
  </si>
  <si>
    <t>'002103</t>
  </si>
  <si>
    <t>CIZALLA 24"</t>
  </si>
  <si>
    <t>002106</t>
  </si>
  <si>
    <t>'002106</t>
  </si>
  <si>
    <t>ALICATE EXTENSION 10</t>
  </si>
  <si>
    <t>002109</t>
  </si>
  <si>
    <t>'002109</t>
  </si>
  <si>
    <t>ALICATE DE PRESION CON CADENA 10</t>
  </si>
  <si>
    <t>002110</t>
  </si>
  <si>
    <t>'002110</t>
  </si>
  <si>
    <t>PINZA PELA CABLE AUTOMATICA 8</t>
  </si>
  <si>
    <t>002112</t>
  </si>
  <si>
    <t>'002112</t>
  </si>
  <si>
    <t>LLAVE CADENA TIPO CAIMAN 28</t>
  </si>
  <si>
    <t>002116</t>
  </si>
  <si>
    <t>'002116</t>
  </si>
  <si>
    <t xml:space="preserve">CORTA RAMAS ALTAS </t>
  </si>
  <si>
    <t>002117</t>
  </si>
  <si>
    <t>'002117</t>
  </si>
  <si>
    <t xml:space="preserve">SOPLADORA ELECTRICA </t>
  </si>
  <si>
    <t>002123</t>
  </si>
  <si>
    <t>'002123</t>
  </si>
  <si>
    <t xml:space="preserve">PINZA PELA CABLE DE 10 </t>
  </si>
  <si>
    <t>002125</t>
  </si>
  <si>
    <t>'002125</t>
  </si>
  <si>
    <t>CIZALLA PROFESIONAL 36"</t>
  </si>
  <si>
    <t>002128</t>
  </si>
  <si>
    <t>'002128</t>
  </si>
  <si>
    <t>LLAVE AJUSTABLE PERICO 10"</t>
  </si>
  <si>
    <t>002129</t>
  </si>
  <si>
    <t>'002129</t>
  </si>
  <si>
    <t xml:space="preserve">LAMPARA LED CUADRADA EMPOTRADA DE 9 </t>
  </si>
  <si>
    <t>002132</t>
  </si>
  <si>
    <t>'002132</t>
  </si>
  <si>
    <t>EMPALME TUBULAR DE COMPRESION NO 6</t>
  </si>
  <si>
    <t>002142</t>
  </si>
  <si>
    <t>'002142</t>
  </si>
  <si>
    <t>AZUCAR 3LB</t>
  </si>
  <si>
    <t>002143</t>
  </si>
  <si>
    <t>'002143</t>
  </si>
  <si>
    <t>ROLLO DE TEFLON 13M*1/2</t>
  </si>
  <si>
    <t>002144</t>
  </si>
  <si>
    <t>'002144</t>
  </si>
  <si>
    <t>ROLLO DE TEFLON 13M*3/4</t>
  </si>
  <si>
    <t>002147</t>
  </si>
  <si>
    <t>'002147</t>
  </si>
  <si>
    <t>BLOCK INDUSTRIAL DE 8</t>
  </si>
  <si>
    <t>002157</t>
  </si>
  <si>
    <t>'002157</t>
  </si>
  <si>
    <t>BREAKER INDUSTRIAL</t>
  </si>
  <si>
    <t>002166</t>
  </si>
  <si>
    <t>'002166</t>
  </si>
  <si>
    <t>REDUCCION BUSHING HG 2*1-1/2</t>
  </si>
  <si>
    <t>002171</t>
  </si>
  <si>
    <t>'002171</t>
  </si>
  <si>
    <t>TIE RAP 14*8MM</t>
  </si>
  <si>
    <t>002184</t>
  </si>
  <si>
    <t>'002184</t>
  </si>
  <si>
    <t>VARILLA SOLDAR UNIVERSAL 1/8</t>
  </si>
  <si>
    <t>002189</t>
  </si>
  <si>
    <t>'002189</t>
  </si>
  <si>
    <t>CABLE NO.3/0 THHN</t>
  </si>
  <si>
    <t>002190</t>
  </si>
  <si>
    <t>'002190</t>
  </si>
  <si>
    <t>CONTACTOR 220V 60HZ</t>
  </si>
  <si>
    <t>002194</t>
  </si>
  <si>
    <t>'002194</t>
  </si>
  <si>
    <t>TUBOS DE 12 PVC SCH40</t>
  </si>
  <si>
    <t>002195</t>
  </si>
  <si>
    <t>'002195</t>
  </si>
  <si>
    <t>SELLOS DE SUSPENSION DE SERVIVIO D MADER</t>
  </si>
  <si>
    <t>002197</t>
  </si>
  <si>
    <t>'002197</t>
  </si>
  <si>
    <t>CONDULET CONDUIT 3</t>
  </si>
  <si>
    <t>002200</t>
  </si>
  <si>
    <t>'002200</t>
  </si>
  <si>
    <t xml:space="preserve">CONECTOR EMT 3 </t>
  </si>
  <si>
    <t>002205</t>
  </si>
  <si>
    <t>'002205</t>
  </si>
  <si>
    <t>CUBO PARA BASURA</t>
  </si>
  <si>
    <t>002213</t>
  </si>
  <si>
    <t>'002213</t>
  </si>
  <si>
    <t>ALAMBRE DUPLEX # 14 -PIES-</t>
  </si>
  <si>
    <t>002215</t>
  </si>
  <si>
    <t>'002215</t>
  </si>
  <si>
    <t>ALAMBRE THHN# 10 NEGRO -PIES-</t>
  </si>
  <si>
    <t>002226</t>
  </si>
  <si>
    <t>'002226</t>
  </si>
  <si>
    <t>CABLE VINIL SUMERGIBLE 12/3</t>
  </si>
  <si>
    <t>002227</t>
  </si>
  <si>
    <t>'002227</t>
  </si>
  <si>
    <t>CABLE THHN AMERICANO *6</t>
  </si>
  <si>
    <t>002236</t>
  </si>
  <si>
    <t>'002236</t>
  </si>
  <si>
    <t>JUNTA HG 23</t>
  </si>
  <si>
    <t>002238</t>
  </si>
  <si>
    <t>'002238</t>
  </si>
  <si>
    <t>JUNTA HG REDUCTORA 2</t>
  </si>
  <si>
    <t>002239</t>
  </si>
  <si>
    <t>'002239</t>
  </si>
  <si>
    <t>COLUMNA HN DE 4*10 CON ROSCA</t>
  </si>
  <si>
    <t>002240</t>
  </si>
  <si>
    <t>'002240</t>
  </si>
  <si>
    <t>NIPLE DE HIERRO GAL SCH 40 DE 2*10</t>
  </si>
  <si>
    <t>002241</t>
  </si>
  <si>
    <t>'002241</t>
  </si>
  <si>
    <t>NIPLE HIERRO GAL SCH 40 DE 2*8</t>
  </si>
  <si>
    <t>002243</t>
  </si>
  <si>
    <t>'002243</t>
  </si>
  <si>
    <t>TAPA HEMBRA GALV 150 LBS 2</t>
  </si>
  <si>
    <t>002244</t>
  </si>
  <si>
    <t>'002244</t>
  </si>
  <si>
    <t>VALVULA DE BOLAS GENEBRE 1/2</t>
  </si>
  <si>
    <t>002246</t>
  </si>
  <si>
    <t>'002246</t>
  </si>
  <si>
    <t xml:space="preserve">BREAKER 1P SIEMENS </t>
  </si>
  <si>
    <t>002247</t>
  </si>
  <si>
    <t>'002247</t>
  </si>
  <si>
    <t>CABLE ACERRO DE 1/2 FORADO</t>
  </si>
  <si>
    <t>002253</t>
  </si>
  <si>
    <t>'002253</t>
  </si>
  <si>
    <t>CEMENTO PVC DE 80Z LANGO AZUL</t>
  </si>
  <si>
    <t>002254</t>
  </si>
  <si>
    <t>'002254</t>
  </si>
  <si>
    <t>CEMENTO PVC DE 16OZ LANGO AZUL</t>
  </si>
  <si>
    <t>002255</t>
  </si>
  <si>
    <t>'002255</t>
  </si>
  <si>
    <t>MEDIO GALON DE CLORO</t>
  </si>
  <si>
    <t>002266</t>
  </si>
  <si>
    <t>'002266</t>
  </si>
  <si>
    <t xml:space="preserve">SOFA DE TRES </t>
  </si>
  <si>
    <t>002274</t>
  </si>
  <si>
    <t>'002274</t>
  </si>
  <si>
    <t>PLANCHA 3/4  4*8 BRASILENO FRANJA ROJA</t>
  </si>
  <si>
    <t>002275</t>
  </si>
  <si>
    <t>'002275</t>
  </si>
  <si>
    <t>BLOC DE 6 DE 2 HOYO</t>
  </si>
  <si>
    <t>002276</t>
  </si>
  <si>
    <t>'002276</t>
  </si>
  <si>
    <t>TARROS  DE CLORO GRANULADO DE 25 MILIGRA</t>
  </si>
  <si>
    <t>002278</t>
  </si>
  <si>
    <t>'002278</t>
  </si>
  <si>
    <t>CANDADO ANTICIZALLA DE 90 MM YALE</t>
  </si>
  <si>
    <t>002300</t>
  </si>
  <si>
    <t>'002300</t>
  </si>
  <si>
    <t>ARCHIVO ACORDEON PLASTICO</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</si>
</sst>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3" formatCode="_(* #,##0.00_);_(* \(#,##0.00\);_(* &quot;-&quot;??_);_(@_)"/>
    <numFmt numFmtId="164" formatCode="0_);\(0\)"/>
    <numFmt numFmtId="165" formatCode="&quot;RD$&quot;#,##0.00;[Red]\-&quot;RD$&quot;#,##0.00"/>
    <numFmt numFmtId="166" formatCode="0.0%"/>
  </numFmts>
  <fonts count="20" x14ac:knownFonts="1">
    <font>
      <sz val="11"/>
      <color theme="1"/>
      <name val="Calibri"/>
      <family val="2"/>
      <scheme val="minor"/>
    </font>
    <font>
      <sz val="11"/>
      <color theme="1"/>
      <name val="Calibri"/>
      <family val="2"/>
      <scheme val="minor"/>
    </font>
    <font>
      <b/>
      <sz val="11"/>
      <color theme="1"/>
      <name val="Times New Roman"/>
      <family val="1"/>
    </font>
    <font>
      <sz val="11"/>
      <color theme="1"/>
      <name val="Times New Roman"/>
      <family val="1"/>
    </font>
    <font>
      <b/>
      <sz val="11"/>
      <name val="Times New Roman"/>
      <family val="1"/>
    </font>
    <font>
      <sz val="11"/>
      <name val="Times New Roman"/>
      <family val="1"/>
    </font>
    <font>
      <sz val="11"/>
      <color rgb="FF000000"/>
      <name val="Times New Roman"/>
      <family val="1"/>
    </font>
    <font>
      <sz val="11"/>
      <color rgb="FFFF0000"/>
      <name val="Times New Roman"/>
      <family val="1"/>
    </font>
    <font>
      <b/>
      <sz val="11"/>
      <color rgb="FF000000"/>
      <name val="Times New Roman"/>
      <family val="1"/>
    </font>
    <font>
      <b/>
      <sz val="11"/>
      <color theme="0" tint="-0.249977111117893"/>
      <name val="Times New Roman"/>
      <family val="1"/>
    </font>
    <font>
      <sz val="11"/>
      <color indexed="8"/>
      <name val="Times New Roman"/>
      <family val="1"/>
    </font>
    <font>
      <b/>
      <sz val="11"/>
      <color rgb="FFFF0000"/>
      <name val="Times New Roman"/>
      <family val="1"/>
    </font>
    <font>
      <b/>
      <sz val="11"/>
      <color theme="0" tint="-4.9989318521683403E-2"/>
      <name val="Times New Roman"/>
      <family val="1"/>
    </font>
    <font>
      <sz val="10"/>
      <color theme="1"/>
      <name val="Times New Roman"/>
      <family val="1"/>
    </font>
    <font>
      <sz val="11"/>
      <color theme="0" tint="-0.249977111117893"/>
      <name val="Times New Roman"/>
      <family val="1"/>
    </font>
    <font>
      <b/>
      <sz val="11"/>
      <color theme="0" tint="-0.14999847407452621"/>
      <name val="Times New Roman"/>
      <family val="1"/>
    </font>
    <font>
      <b/>
      <sz val="9"/>
      <color indexed="81"/>
      <name val="Tahoma"/>
      <family val="2"/>
    </font>
    <font>
      <sz val="9"/>
      <color indexed="81"/>
      <name val="Tahoma"/>
      <family val="2"/>
    </font>
    <font>
      <sz val="11"/>
      <color indexed="8"/>
      <name val="Calibri"/>
      <family val="2"/>
    </font>
    <font>
      <b/>
      <sz val="11"/>
      <color indexed="8"/>
      <name val="Calibri"/>
      <family val="2"/>
    </font>
  </fonts>
  <fills count="11">
    <fill>
      <patternFill patternType="none"/>
    </fill>
    <fill>
      <patternFill patternType="gray125"/>
    </fill>
    <fill>
      <patternFill patternType="solid">
        <fgColor theme="9" tint="0.59999389629810485"/>
        <bgColor indexed="64"/>
      </patternFill>
    </fill>
    <fill>
      <patternFill patternType="solid">
        <fgColor rgb="FFFFFF00"/>
        <bgColor indexed="64"/>
      </patternFill>
    </fill>
    <fill>
      <patternFill patternType="solid">
        <fgColor rgb="FFF2F2F2"/>
        <bgColor indexed="64"/>
      </patternFill>
    </fill>
    <fill>
      <patternFill patternType="solid">
        <fgColor theme="0"/>
        <bgColor indexed="64"/>
      </patternFill>
    </fill>
    <fill>
      <patternFill patternType="solid">
        <fgColor rgb="FFFFFFFF"/>
        <bgColor indexed="64"/>
      </patternFill>
    </fill>
    <fill>
      <patternFill patternType="solid">
        <fgColor rgb="FFD9D9D9"/>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theme="0" tint="-4.9989318521683403E-2"/>
        <bgColor indexed="64"/>
      </patternFill>
    </fill>
  </fills>
  <borders count="1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right/>
      <top style="thin">
        <color indexed="64"/>
      </top>
      <bottom/>
      <diagonal/>
    </border>
    <border>
      <left style="medium">
        <color auto="1"/>
      </left>
      <right style="medium">
        <color auto="1"/>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medium">
        <color auto="1"/>
      </bottom>
      <diagonal/>
    </border>
    <border>
      <left/>
      <right style="medium">
        <color auto="1"/>
      </right>
      <top/>
      <bottom style="medium">
        <color auto="1"/>
      </bottom>
      <diagonal/>
    </border>
    <border>
      <left style="thin">
        <color auto="1"/>
      </left>
      <right style="thin">
        <color auto="1"/>
      </right>
      <top style="thin">
        <color auto="1"/>
      </top>
      <bottom style="thin">
        <color auto="1"/>
      </bottom>
      <diagonal/>
    </border>
  </borders>
  <cellStyleXfs count="4">
    <xf numFmtId="0" fontId="0" fillId="0" borderId="0"/>
    <xf numFmtId="43" fontId="1" fillId="0" borderId="0" applyFont="0" applyFill="0" applyBorder="0" applyAlignment="0" applyProtection="0"/>
    <xf numFmtId="0" fontId="18" fillId="0" borderId="0"/>
    <xf numFmtId="43" fontId="18" fillId="0" borderId="0" applyFont="0" applyFill="0" applyBorder="0" applyAlignment="0" applyProtection="0"/>
  </cellStyleXfs>
  <cellXfs count="307">
    <xf numFmtId="0" fontId="0" fillId="0" borderId="0" xfId="0"/>
    <xf numFmtId="0" fontId="3" fillId="0" borderId="0" xfId="0" applyFont="1"/>
    <xf numFmtId="43" fontId="3" fillId="0" borderId="0" xfId="1" applyFont="1"/>
    <xf numFmtId="0" fontId="3" fillId="2" borderId="0" xfId="0" applyFont="1" applyFill="1"/>
    <xf numFmtId="0" fontId="2" fillId="0" borderId="0" xfId="0" applyFont="1" applyAlignment="1">
      <alignment horizontal="center"/>
    </xf>
    <xf numFmtId="43" fontId="2" fillId="0" borderId="0" xfId="1" applyFont="1" applyAlignment="1">
      <alignment horizontal="center"/>
    </xf>
    <xf numFmtId="0" fontId="2" fillId="0" borderId="0" xfId="0" applyFont="1" applyAlignment="1">
      <alignment vertical="center"/>
    </xf>
    <xf numFmtId="0" fontId="4" fillId="0" borderId="0" xfId="0" applyFont="1" applyAlignment="1">
      <alignment vertical="center"/>
    </xf>
    <xf numFmtId="0" fontId="3" fillId="0" borderId="0" xfId="0" applyFont="1" applyFill="1"/>
    <xf numFmtId="0" fontId="2" fillId="0" borderId="0" xfId="0" applyFont="1" applyAlignment="1">
      <alignment horizontal="justify" vertical="center" wrapText="1"/>
    </xf>
    <xf numFmtId="0" fontId="3" fillId="0" borderId="0" xfId="0" applyFont="1" applyAlignment="1">
      <alignment horizontal="justify" vertical="center" wrapText="1"/>
    </xf>
    <xf numFmtId="43" fontId="3" fillId="0" borderId="0" xfId="1" applyFont="1" applyFill="1"/>
    <xf numFmtId="0" fontId="3" fillId="0" borderId="0" xfId="0" applyFont="1" applyAlignment="1">
      <alignment horizontal="left" vertical="center" wrapText="1"/>
    </xf>
    <xf numFmtId="0" fontId="2" fillId="0" borderId="0" xfId="0" applyFont="1" applyAlignment="1">
      <alignment horizontal="justify" vertical="center"/>
    </xf>
    <xf numFmtId="0" fontId="3" fillId="0" borderId="0" xfId="0" applyFont="1" applyAlignment="1">
      <alignment horizontal="justify" vertical="center"/>
    </xf>
    <xf numFmtId="0" fontId="3" fillId="0" borderId="0" xfId="0" applyFont="1" applyAlignment="1">
      <alignment wrapText="1"/>
    </xf>
    <xf numFmtId="0" fontId="3" fillId="0" borderId="0" xfId="0" applyFont="1" applyFill="1" applyBorder="1" applyAlignment="1">
      <alignment wrapText="1"/>
    </xf>
    <xf numFmtId="0" fontId="5" fillId="0" borderId="0" xfId="0" applyFont="1" applyAlignment="1">
      <alignment horizontal="left" vertical="center" wrapText="1"/>
    </xf>
    <xf numFmtId="0" fontId="6" fillId="0" borderId="0" xfId="0" applyFont="1" applyAlignment="1">
      <alignment horizontal="left" vertical="center" wrapText="1"/>
    </xf>
    <xf numFmtId="43" fontId="6" fillId="0" borderId="0" xfId="1" applyFont="1" applyAlignment="1">
      <alignment horizontal="left" vertical="center" wrapText="1"/>
    </xf>
    <xf numFmtId="0" fontId="3" fillId="0" borderId="0" xfId="0" applyFont="1" applyFill="1" applyAlignment="1">
      <alignment horizontal="left" vertical="center" wrapText="1"/>
    </xf>
    <xf numFmtId="43" fontId="3" fillId="0" borderId="0" xfId="1" applyFont="1" applyFill="1" applyAlignment="1">
      <alignment horizontal="left" vertical="center" wrapText="1"/>
    </xf>
    <xf numFmtId="0" fontId="2" fillId="0" borderId="0" xfId="0" applyFont="1" applyFill="1" applyAlignment="1">
      <alignment horizontal="left" vertical="center" wrapText="1"/>
    </xf>
    <xf numFmtId="0" fontId="8" fillId="4" borderId="1" xfId="0" applyFont="1" applyFill="1" applyBorder="1" applyAlignment="1">
      <alignment horizontal="center" vertical="center" wrapText="1"/>
    </xf>
    <xf numFmtId="0" fontId="8" fillId="4" borderId="1" xfId="0" applyFont="1" applyFill="1" applyBorder="1" applyAlignment="1">
      <alignment horizontal="center" vertical="center"/>
    </xf>
    <xf numFmtId="164" fontId="4" fillId="4" borderId="1" xfId="1" applyNumberFormat="1" applyFont="1" applyFill="1" applyBorder="1" applyAlignment="1">
      <alignment horizontal="center" vertical="center" wrapText="1"/>
    </xf>
    <xf numFmtId="0" fontId="4" fillId="4" borderId="1" xfId="0" applyFont="1" applyFill="1" applyBorder="1" applyAlignment="1">
      <alignment horizontal="center" vertical="center" wrapText="1"/>
    </xf>
    <xf numFmtId="0" fontId="6" fillId="0" borderId="1" xfId="0" applyFont="1" applyBorder="1" applyAlignment="1">
      <alignment horizontal="justify" vertical="center" wrapText="1"/>
    </xf>
    <xf numFmtId="43" fontId="6" fillId="0" borderId="1" xfId="1" applyFont="1" applyBorder="1" applyAlignment="1">
      <alignment horizontal="right" vertical="center"/>
    </xf>
    <xf numFmtId="43" fontId="6" fillId="0" borderId="1" xfId="1" applyFont="1" applyBorder="1" applyAlignment="1">
      <alignment horizontal="right" vertical="center" wrapText="1"/>
    </xf>
    <xf numFmtId="43" fontId="5" fillId="0" borderId="1" xfId="1" applyFont="1" applyBorder="1" applyAlignment="1">
      <alignment horizontal="right"/>
    </xf>
    <xf numFmtId="0" fontId="6" fillId="0" borderId="1" xfId="0" applyFont="1" applyBorder="1" applyAlignment="1">
      <alignment horizontal="left" vertical="center" wrapText="1"/>
    </xf>
    <xf numFmtId="43" fontId="5" fillId="0" borderId="1" xfId="1" applyFont="1" applyBorder="1" applyAlignment="1"/>
    <xf numFmtId="0" fontId="3" fillId="0" borderId="1" xfId="0" applyFont="1" applyBorder="1" applyAlignment="1">
      <alignment vertical="center"/>
    </xf>
    <xf numFmtId="43" fontId="3" fillId="0" borderId="1" xfId="1" applyFont="1" applyBorder="1"/>
    <xf numFmtId="0" fontId="3" fillId="0" borderId="0" xfId="0" applyFont="1" applyBorder="1"/>
    <xf numFmtId="0" fontId="8" fillId="4" borderId="1" xfId="0" applyFont="1" applyFill="1" applyBorder="1" applyAlignment="1">
      <alignment vertical="center"/>
    </xf>
    <xf numFmtId="4" fontId="8" fillId="4" borderId="1" xfId="0" applyNumberFormat="1" applyFont="1" applyFill="1" applyBorder="1" applyAlignment="1">
      <alignment horizontal="right" vertical="center"/>
    </xf>
    <xf numFmtId="4" fontId="4" fillId="4" borderId="1" xfId="0" applyNumberFormat="1" applyFont="1" applyFill="1" applyBorder="1" applyAlignment="1">
      <alignment horizontal="right" vertical="center"/>
    </xf>
    <xf numFmtId="43" fontId="3" fillId="0" borderId="0" xfId="1" applyFont="1" applyBorder="1"/>
    <xf numFmtId="0" fontId="3" fillId="2" borderId="0" xfId="0" applyFont="1" applyFill="1" applyBorder="1"/>
    <xf numFmtId="0" fontId="8" fillId="4" borderId="0" xfId="0" applyFont="1" applyFill="1" applyBorder="1" applyAlignment="1">
      <alignment horizontal="center" vertical="center"/>
    </xf>
    <xf numFmtId="43" fontId="9" fillId="4" borderId="0" xfId="1" applyFont="1" applyFill="1" applyBorder="1" applyAlignment="1">
      <alignment horizontal="center" vertical="center"/>
    </xf>
    <xf numFmtId="43" fontId="8" fillId="4" borderId="0" xfId="1" applyFont="1" applyFill="1" applyBorder="1" applyAlignment="1">
      <alignment horizontal="center" vertical="center"/>
    </xf>
    <xf numFmtId="4" fontId="4" fillId="4" borderId="0" xfId="0" applyNumberFormat="1" applyFont="1" applyFill="1" applyBorder="1" applyAlignment="1">
      <alignment horizontal="center" vertical="center"/>
    </xf>
    <xf numFmtId="43" fontId="2" fillId="0" borderId="1" xfId="1" applyFont="1" applyBorder="1" applyAlignment="1">
      <alignment horizontal="right" wrapText="1"/>
    </xf>
    <xf numFmtId="10" fontId="4" fillId="0" borderId="1" xfId="0" applyNumberFormat="1" applyFont="1" applyBorder="1"/>
    <xf numFmtId="0" fontId="4" fillId="0" borderId="0" xfId="0" applyFont="1" applyBorder="1" applyAlignment="1">
      <alignment horizontal="left" wrapText="1"/>
    </xf>
    <xf numFmtId="43" fontId="2" fillId="0" borderId="0" xfId="1" applyFont="1" applyBorder="1" applyAlignment="1">
      <alignment horizontal="right" wrapText="1"/>
    </xf>
    <xf numFmtId="10" fontId="4" fillId="0" borderId="0" xfId="0" applyNumberFormat="1" applyFont="1" applyBorder="1"/>
    <xf numFmtId="0" fontId="2" fillId="0" borderId="0" xfId="0" applyFont="1" applyBorder="1" applyAlignment="1">
      <alignment horizontal="left" wrapText="1"/>
    </xf>
    <xf numFmtId="10" fontId="2" fillId="0" borderId="0" xfId="0" applyNumberFormat="1" applyFont="1" applyBorder="1"/>
    <xf numFmtId="0" fontId="2" fillId="0" borderId="0" xfId="0" applyFont="1"/>
    <xf numFmtId="0" fontId="5" fillId="0" borderId="1" xfId="0" applyFont="1" applyBorder="1" applyAlignment="1">
      <alignment horizontal="left" vertical="center" wrapText="1"/>
    </xf>
    <xf numFmtId="4" fontId="5" fillId="0" borderId="4" xfId="0" applyNumberFormat="1" applyFont="1" applyBorder="1" applyAlignment="1">
      <alignment horizontal="right" vertical="center"/>
    </xf>
    <xf numFmtId="43" fontId="5" fillId="0" borderId="4" xfId="1" applyFont="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right" vertical="center"/>
    </xf>
    <xf numFmtId="43" fontId="5" fillId="0" borderId="1" xfId="1" applyFont="1" applyBorder="1" applyAlignment="1">
      <alignment horizontal="right" vertical="center"/>
    </xf>
    <xf numFmtId="4" fontId="5" fillId="0" borderId="1" xfId="0" applyNumberFormat="1" applyFont="1" applyBorder="1"/>
    <xf numFmtId="0" fontId="4" fillId="4" borderId="1" xfId="0" applyFont="1" applyFill="1" applyBorder="1" applyAlignment="1">
      <alignment horizontal="left" vertical="center" wrapText="1"/>
    </xf>
    <xf numFmtId="43" fontId="4" fillId="4" borderId="1" xfId="1" applyFont="1" applyFill="1" applyBorder="1" applyAlignment="1">
      <alignment horizontal="right" vertical="center"/>
    </xf>
    <xf numFmtId="0" fontId="4" fillId="4" borderId="0" xfId="0" applyFont="1" applyFill="1" applyBorder="1" applyAlignment="1">
      <alignment horizontal="left" vertical="center" wrapText="1"/>
    </xf>
    <xf numFmtId="4" fontId="4" fillId="4" borderId="0" xfId="0" applyNumberFormat="1" applyFont="1" applyFill="1" applyBorder="1" applyAlignment="1">
      <alignment horizontal="right" vertical="center"/>
    </xf>
    <xf numFmtId="43" fontId="4" fillId="4" borderId="0" xfId="1" applyFont="1" applyFill="1" applyBorder="1" applyAlignment="1">
      <alignment horizontal="right" vertical="center"/>
    </xf>
    <xf numFmtId="43" fontId="4" fillId="0" borderId="1" xfId="1" applyFont="1" applyBorder="1" applyAlignment="1">
      <alignment horizontal="right" wrapText="1"/>
    </xf>
    <xf numFmtId="0" fontId="3" fillId="5" borderId="0" xfId="0" applyFont="1" applyFill="1"/>
    <xf numFmtId="43" fontId="3" fillId="0" borderId="4" xfId="1" applyFont="1" applyBorder="1" applyAlignment="1">
      <alignment horizontal="right" vertical="center"/>
    </xf>
    <xf numFmtId="43" fontId="6" fillId="0" borderId="4" xfId="1" applyFont="1" applyBorder="1" applyAlignment="1">
      <alignment horizontal="right" vertical="center" wrapText="1"/>
    </xf>
    <xf numFmtId="4" fontId="3" fillId="0" borderId="1" xfId="0" applyNumberFormat="1" applyFont="1" applyBorder="1"/>
    <xf numFmtId="4" fontId="3" fillId="0" borderId="1" xfId="0" applyNumberFormat="1" applyFont="1" applyBorder="1" applyAlignment="1">
      <alignment horizontal="right" vertical="center"/>
    </xf>
    <xf numFmtId="0" fontId="8" fillId="4" borderId="1" xfId="0" applyFont="1" applyFill="1" applyBorder="1" applyAlignment="1">
      <alignment horizontal="left" vertical="center" wrapText="1"/>
    </xf>
    <xf numFmtId="0" fontId="8" fillId="0" borderId="0" xfId="0" applyFont="1" applyFill="1" applyBorder="1" applyAlignment="1">
      <alignment horizontal="left" vertical="center" wrapText="1"/>
    </xf>
    <xf numFmtId="4" fontId="9" fillId="0" borderId="0" xfId="0" applyNumberFormat="1" applyFont="1" applyFill="1" applyBorder="1" applyAlignment="1">
      <alignment horizontal="right" vertical="center"/>
    </xf>
    <xf numFmtId="43" fontId="8" fillId="0" borderId="0" xfId="1" applyFont="1" applyFill="1" applyBorder="1" applyAlignment="1">
      <alignment horizontal="right" vertical="center"/>
    </xf>
    <xf numFmtId="4" fontId="8" fillId="0" borderId="0" xfId="0" applyNumberFormat="1" applyFont="1" applyFill="1" applyBorder="1" applyAlignment="1">
      <alignment horizontal="right" vertical="center"/>
    </xf>
    <xf numFmtId="10" fontId="2" fillId="0" borderId="1" xfId="0" applyNumberFormat="1" applyFont="1" applyBorder="1"/>
    <xf numFmtId="0" fontId="3" fillId="0" borderId="0" xfId="0" applyFont="1" applyAlignment="1">
      <alignment vertical="center" wrapText="1"/>
    </xf>
    <xf numFmtId="4" fontId="3" fillId="0" borderId="0" xfId="0" applyNumberFormat="1" applyFont="1"/>
    <xf numFmtId="43" fontId="3" fillId="0" borderId="1" xfId="1" applyFont="1" applyBorder="1" applyAlignment="1">
      <alignment horizontal="right" vertical="center"/>
    </xf>
    <xf numFmtId="4" fontId="3" fillId="0" borderId="0" xfId="0" applyNumberFormat="1" applyFont="1" applyAlignment="1">
      <alignment vertical="center"/>
    </xf>
    <xf numFmtId="43" fontId="8" fillId="4" borderId="1" xfId="1" applyFont="1" applyFill="1" applyBorder="1" applyAlignment="1">
      <alignment horizontal="right" vertical="center"/>
    </xf>
    <xf numFmtId="43" fontId="9" fillId="0" borderId="0" xfId="1" applyFont="1" applyFill="1" applyBorder="1" applyAlignment="1">
      <alignment horizontal="right" vertical="center"/>
    </xf>
    <xf numFmtId="43" fontId="3" fillId="0" borderId="0" xfId="1" applyFont="1" applyAlignment="1">
      <alignment horizontal="left" vertical="center" wrapText="1"/>
    </xf>
    <xf numFmtId="4" fontId="3" fillId="0" borderId="1" xfId="0" applyNumberFormat="1" applyFont="1" applyFill="1" applyBorder="1" applyAlignment="1">
      <alignment horizontal="right" vertical="center"/>
    </xf>
    <xf numFmtId="39" fontId="3" fillId="0" borderId="1" xfId="0" applyNumberFormat="1" applyFont="1" applyBorder="1" applyAlignment="1">
      <alignment horizontal="right" vertical="center"/>
    </xf>
    <xf numFmtId="4" fontId="3" fillId="2" borderId="0" xfId="0" applyNumberFormat="1" applyFont="1" applyFill="1"/>
    <xf numFmtId="4" fontId="2" fillId="0" borderId="1" xfId="0" applyNumberFormat="1" applyFont="1" applyBorder="1"/>
    <xf numFmtId="0" fontId="8" fillId="4" borderId="0" xfId="0" applyFont="1" applyFill="1" applyBorder="1" applyAlignment="1">
      <alignment horizontal="left" vertical="center" wrapText="1"/>
    </xf>
    <xf numFmtId="43" fontId="9" fillId="4" borderId="0" xfId="1" applyFont="1" applyFill="1" applyBorder="1" applyAlignment="1">
      <alignment horizontal="right" vertical="center"/>
    </xf>
    <xf numFmtId="43" fontId="8" fillId="4" borderId="0" xfId="1" applyFont="1" applyFill="1" applyBorder="1" applyAlignment="1">
      <alignment horizontal="right" vertical="center"/>
    </xf>
    <xf numFmtId="4" fontId="8" fillId="4" borderId="0" xfId="0" applyNumberFormat="1" applyFont="1" applyFill="1" applyBorder="1" applyAlignment="1">
      <alignment horizontal="right" vertical="center"/>
    </xf>
    <xf numFmtId="4" fontId="3" fillId="0" borderId="0" xfId="0" applyNumberFormat="1" applyFont="1" applyAlignment="1">
      <alignment horizontal="left" vertical="center" wrapText="1"/>
    </xf>
    <xf numFmtId="0" fontId="2" fillId="0" borderId="0" xfId="0" applyFont="1" applyAlignment="1">
      <alignment vertical="center" wrapText="1"/>
    </xf>
    <xf numFmtId="0" fontId="3" fillId="0" borderId="0" xfId="0" applyFont="1" applyAlignment="1">
      <alignment vertical="center"/>
    </xf>
    <xf numFmtId="43" fontId="8" fillId="4" borderId="1" xfId="1" applyFont="1" applyFill="1" applyBorder="1" applyAlignment="1">
      <alignment horizontal="center" vertical="center"/>
    </xf>
    <xf numFmtId="43" fontId="3" fillId="0" borderId="0" xfId="1" applyFont="1" applyAlignment="1">
      <alignment vertical="center"/>
    </xf>
    <xf numFmtId="0" fontId="3" fillId="2" borderId="0" xfId="0" applyFont="1" applyFill="1" applyAlignment="1">
      <alignment vertical="center"/>
    </xf>
    <xf numFmtId="0" fontId="6" fillId="6" borderId="1" xfId="0" applyFont="1" applyFill="1" applyBorder="1" applyAlignment="1">
      <alignment vertical="center" wrapText="1"/>
    </xf>
    <xf numFmtId="165" fontId="6" fillId="6" borderId="1" xfId="0" applyNumberFormat="1" applyFont="1" applyFill="1" applyBorder="1" applyAlignment="1">
      <alignment horizontal="right" vertical="center"/>
    </xf>
    <xf numFmtId="43" fontId="6" fillId="6" borderId="1" xfId="1" applyFont="1" applyFill="1" applyBorder="1" applyAlignment="1">
      <alignment horizontal="center" vertical="center"/>
    </xf>
    <xf numFmtId="4" fontId="3" fillId="6" borderId="1" xfId="0" applyNumberFormat="1" applyFont="1" applyFill="1" applyBorder="1" applyAlignment="1">
      <alignment horizontal="right" vertical="center"/>
    </xf>
    <xf numFmtId="0" fontId="6" fillId="0" borderId="1" xfId="0" applyFont="1" applyBorder="1" applyAlignment="1">
      <alignment vertical="center" wrapText="1"/>
    </xf>
    <xf numFmtId="165" fontId="6" fillId="0" borderId="1" xfId="0" applyNumberFormat="1" applyFont="1" applyBorder="1" applyAlignment="1">
      <alignment horizontal="right" vertical="center"/>
    </xf>
    <xf numFmtId="43" fontId="6" fillId="0" borderId="1" xfId="1" applyFont="1" applyBorder="1" applyAlignment="1">
      <alignment horizontal="center" vertical="center"/>
    </xf>
    <xf numFmtId="0" fontId="2" fillId="4" borderId="1" xfId="0" applyFont="1" applyFill="1" applyBorder="1" applyAlignment="1">
      <alignment vertical="center"/>
    </xf>
    <xf numFmtId="43" fontId="2" fillId="4" borderId="1" xfId="1" applyFont="1" applyFill="1" applyBorder="1" applyAlignment="1">
      <alignment vertical="center"/>
    </xf>
    <xf numFmtId="4" fontId="2" fillId="4" borderId="1" xfId="0" applyNumberFormat="1" applyFont="1" applyFill="1" applyBorder="1" applyAlignment="1">
      <alignment horizontal="right" vertical="center"/>
    </xf>
    <xf numFmtId="0" fontId="2" fillId="0" borderId="0" xfId="0" applyFont="1" applyFill="1" applyBorder="1" applyAlignment="1">
      <alignment horizontal="center" vertical="center"/>
    </xf>
    <xf numFmtId="43" fontId="2" fillId="0" borderId="0" xfId="1" applyFont="1" applyFill="1" applyBorder="1" applyAlignment="1">
      <alignment horizontal="center" vertical="center"/>
    </xf>
    <xf numFmtId="0" fontId="5" fillId="0" borderId="0" xfId="0" applyFont="1"/>
    <xf numFmtId="43" fontId="5" fillId="0" borderId="0" xfId="1" applyFont="1"/>
    <xf numFmtId="0" fontId="5" fillId="2" borderId="0" xfId="0" applyFont="1" applyFill="1"/>
    <xf numFmtId="0" fontId="5" fillId="4" borderId="0" xfId="0" applyFont="1" applyFill="1" applyBorder="1" applyAlignment="1">
      <alignment horizontal="left" vertical="center" wrapText="1"/>
    </xf>
    <xf numFmtId="4" fontId="5" fillId="4" borderId="0" xfId="0" applyNumberFormat="1" applyFont="1" applyFill="1" applyBorder="1" applyAlignment="1">
      <alignment horizontal="right" vertical="center"/>
    </xf>
    <xf numFmtId="43" fontId="5" fillId="4" borderId="0" xfId="1" applyFont="1" applyFill="1" applyBorder="1" applyAlignment="1">
      <alignment horizontal="right" vertical="center"/>
    </xf>
    <xf numFmtId="0" fontId="5" fillId="0" borderId="0" xfId="0" applyFont="1" applyBorder="1"/>
    <xf numFmtId="43" fontId="5" fillId="0" borderId="1" xfId="1" applyFont="1" applyBorder="1" applyAlignment="1">
      <alignment horizontal="right" wrapText="1"/>
    </xf>
    <xf numFmtId="10" fontId="5" fillId="0" borderId="1" xfId="0" applyNumberFormat="1" applyFont="1" applyBorder="1"/>
    <xf numFmtId="43" fontId="5" fillId="0" borderId="0" xfId="1" applyFont="1" applyBorder="1"/>
    <xf numFmtId="0" fontId="5" fillId="2" borderId="0" xfId="0" applyFont="1" applyFill="1" applyBorder="1"/>
    <xf numFmtId="0" fontId="5" fillId="0" borderId="0" xfId="0" applyFont="1" applyBorder="1" applyAlignment="1">
      <alignment horizontal="left" wrapText="1"/>
    </xf>
    <xf numFmtId="43" fontId="5" fillId="0" borderId="0" xfId="1" applyFont="1" applyBorder="1" applyAlignment="1">
      <alignment horizontal="right" wrapText="1"/>
    </xf>
    <xf numFmtId="10" fontId="5" fillId="0" borderId="0" xfId="0" applyNumberFormat="1" applyFont="1" applyBorder="1"/>
    <xf numFmtId="0" fontId="8" fillId="7" borderId="1" xfId="0" applyFont="1" applyFill="1" applyBorder="1" applyAlignment="1">
      <alignment horizontal="center" vertical="center" wrapText="1"/>
    </xf>
    <xf numFmtId="43" fontId="2" fillId="7" borderId="1" xfId="1" applyFont="1" applyFill="1" applyBorder="1" applyAlignment="1">
      <alignment horizontal="center" vertical="center" wrapText="1"/>
    </xf>
    <xf numFmtId="0" fontId="8" fillId="8" borderId="1" xfId="0" applyFont="1" applyFill="1" applyBorder="1" applyAlignment="1">
      <alignment horizontal="center" vertical="center" wrapText="1"/>
    </xf>
    <xf numFmtId="0" fontId="8" fillId="9" borderId="1" xfId="0" applyFont="1" applyFill="1" applyBorder="1" applyAlignment="1">
      <alignment vertical="center" wrapText="1"/>
    </xf>
    <xf numFmtId="0" fontId="8" fillId="9" borderId="1" xfId="0" applyFont="1" applyFill="1" applyBorder="1" applyAlignment="1">
      <alignment horizontal="center" vertical="center" wrapText="1"/>
    </xf>
    <xf numFmtId="43" fontId="2" fillId="9" borderId="1" xfId="1" applyFont="1" applyFill="1" applyBorder="1" applyAlignment="1">
      <alignment horizontal="center" vertical="center" wrapText="1"/>
    </xf>
    <xf numFmtId="0" fontId="3" fillId="9" borderId="1" xfId="0" applyFont="1" applyFill="1" applyBorder="1"/>
    <xf numFmtId="43" fontId="3" fillId="0" borderId="1" xfId="1" applyFont="1" applyBorder="1" applyAlignment="1">
      <alignment horizontal="right" vertical="center" wrapText="1"/>
    </xf>
    <xf numFmtId="43" fontId="3" fillId="0" borderId="1" xfId="1" applyFont="1" applyFill="1" applyBorder="1" applyAlignment="1">
      <alignment horizontal="right" vertical="center" wrapText="1"/>
    </xf>
    <xf numFmtId="0" fontId="8" fillId="8" borderId="1" xfId="0" applyFont="1" applyFill="1" applyBorder="1" applyAlignment="1">
      <alignment vertical="center" wrapText="1"/>
    </xf>
    <xf numFmtId="4" fontId="2" fillId="8" borderId="1" xfId="0" applyNumberFormat="1" applyFont="1" applyFill="1" applyBorder="1" applyAlignment="1">
      <alignment horizontal="right" vertical="center"/>
    </xf>
    <xf numFmtId="43" fontId="2" fillId="8" borderId="1" xfId="1" applyFont="1" applyFill="1" applyBorder="1" applyAlignment="1">
      <alignment horizontal="right" vertical="center"/>
    </xf>
    <xf numFmtId="4" fontId="3" fillId="8" borderId="1" xfId="0" applyNumberFormat="1" applyFont="1" applyFill="1" applyBorder="1" applyAlignment="1">
      <alignment horizontal="right" vertical="center"/>
    </xf>
    <xf numFmtId="43" fontId="3" fillId="8" borderId="1" xfId="1" applyFont="1" applyFill="1" applyBorder="1" applyAlignment="1">
      <alignment horizontal="right" vertical="center" wrapText="1"/>
    </xf>
    <xf numFmtId="4" fontId="3" fillId="8" borderId="1" xfId="0" applyNumberFormat="1" applyFont="1" applyFill="1" applyBorder="1"/>
    <xf numFmtId="0" fontId="3" fillId="9" borderId="1" xfId="0" applyFont="1" applyFill="1" applyBorder="1" applyAlignment="1">
      <alignment horizontal="right" vertical="center"/>
    </xf>
    <xf numFmtId="43" fontId="3" fillId="9" borderId="1" xfId="1" applyFont="1" applyFill="1" applyBorder="1" applyAlignment="1">
      <alignment horizontal="right" vertical="center" wrapText="1"/>
    </xf>
    <xf numFmtId="4" fontId="3" fillId="9" borderId="1" xfId="0" applyNumberFormat="1" applyFont="1" applyFill="1" applyBorder="1"/>
    <xf numFmtId="0" fontId="8" fillId="8" borderId="1" xfId="0" applyFont="1" applyFill="1" applyBorder="1" applyAlignment="1">
      <alignment horizontal="left" vertical="center" wrapText="1"/>
    </xf>
    <xf numFmtId="0" fontId="8" fillId="9" borderId="1" xfId="0" applyFont="1" applyFill="1" applyBorder="1" applyAlignment="1">
      <alignment horizontal="left" vertical="center" wrapText="1"/>
    </xf>
    <xf numFmtId="0" fontId="3" fillId="0" borderId="1" xfId="0" applyFont="1" applyBorder="1" applyAlignment="1">
      <alignment horizontal="right" vertical="center"/>
    </xf>
    <xf numFmtId="0" fontId="3" fillId="0" borderId="1" xfId="0" applyFont="1" applyBorder="1" applyAlignment="1">
      <alignment vertical="center" wrapText="1"/>
    </xf>
    <xf numFmtId="4" fontId="8" fillId="8" borderId="1" xfId="0" applyNumberFormat="1" applyFont="1" applyFill="1" applyBorder="1" applyAlignment="1">
      <alignment horizontal="right" vertical="center"/>
    </xf>
    <xf numFmtId="43" fontId="8" fillId="8" borderId="1" xfId="1" applyFont="1" applyFill="1" applyBorder="1" applyAlignment="1">
      <alignment horizontal="right" vertical="center"/>
    </xf>
    <xf numFmtId="0" fontId="3" fillId="8" borderId="1" xfId="0" applyFont="1" applyFill="1" applyBorder="1" applyAlignment="1">
      <alignment horizontal="right" vertical="center" wrapText="1"/>
    </xf>
    <xf numFmtId="4" fontId="2" fillId="0" borderId="0" xfId="0" applyNumberFormat="1" applyFont="1" applyFill="1" applyBorder="1" applyAlignment="1">
      <alignment horizontal="right" vertical="center"/>
    </xf>
    <xf numFmtId="0" fontId="8" fillId="0" borderId="1" xfId="0" applyFont="1" applyBorder="1" applyAlignment="1">
      <alignment horizontal="center" vertical="center" wrapText="1"/>
    </xf>
    <xf numFmtId="4" fontId="2" fillId="8" borderId="1" xfId="0" applyNumberFormat="1" applyFont="1" applyFill="1" applyBorder="1" applyAlignment="1">
      <alignment horizontal="right" vertical="center" wrapText="1"/>
    </xf>
    <xf numFmtId="43" fontId="2" fillId="8" borderId="1" xfId="1" applyFont="1" applyFill="1" applyBorder="1" applyAlignment="1">
      <alignment horizontal="right" vertical="center" wrapText="1"/>
    </xf>
    <xf numFmtId="4" fontId="3" fillId="8" borderId="1" xfId="0" applyNumberFormat="1" applyFont="1" applyFill="1" applyBorder="1" applyAlignment="1">
      <alignment horizontal="right" vertical="center" wrapText="1"/>
    </xf>
    <xf numFmtId="0" fontId="8" fillId="0" borderId="0" xfId="0" applyFont="1" applyFill="1" applyBorder="1" applyAlignment="1">
      <alignment vertical="center" wrapText="1"/>
    </xf>
    <xf numFmtId="4" fontId="9" fillId="0" borderId="0" xfId="0" applyNumberFormat="1" applyFont="1" applyFill="1" applyBorder="1" applyAlignment="1">
      <alignment horizontal="right" vertical="center" wrapText="1"/>
    </xf>
    <xf numFmtId="43" fontId="9" fillId="0" borderId="0" xfId="1" applyFont="1" applyFill="1" applyBorder="1" applyAlignment="1">
      <alignment horizontal="right" vertical="center" wrapText="1"/>
    </xf>
    <xf numFmtId="4" fontId="3" fillId="0" borderId="0" xfId="0" applyNumberFormat="1" applyFont="1" applyFill="1"/>
    <xf numFmtId="0" fontId="3" fillId="3" borderId="0" xfId="0" applyFont="1" applyFill="1"/>
    <xf numFmtId="43" fontId="3" fillId="3" borderId="0" xfId="1" applyFont="1" applyFill="1"/>
    <xf numFmtId="0" fontId="3" fillId="0" borderId="0" xfId="0" applyFont="1" applyBorder="1" applyAlignment="1">
      <alignment horizontal="left" wrapText="1"/>
    </xf>
    <xf numFmtId="43" fontId="3" fillId="0" borderId="0" xfId="1" applyFont="1" applyBorder="1" applyAlignment="1">
      <alignment horizontal="left" wrapText="1"/>
    </xf>
    <xf numFmtId="10" fontId="3" fillId="0" borderId="0" xfId="0" applyNumberFormat="1" applyFont="1" applyBorder="1"/>
    <xf numFmtId="0" fontId="2" fillId="4" borderId="1" xfId="0" applyFont="1" applyFill="1" applyBorder="1" applyAlignment="1">
      <alignment horizontal="center" vertical="center" wrapText="1"/>
    </xf>
    <xf numFmtId="0" fontId="2" fillId="4" borderId="1" xfId="0" applyFont="1" applyFill="1" applyBorder="1" applyAlignment="1">
      <alignment horizontal="center" vertical="center"/>
    </xf>
    <xf numFmtId="0" fontId="3" fillId="0" borderId="1" xfId="0" applyFont="1" applyBorder="1" applyAlignment="1">
      <alignment horizontal="justify" vertical="center" wrapText="1"/>
    </xf>
    <xf numFmtId="43" fontId="3" fillId="0" borderId="1" xfId="1" applyFont="1" applyBorder="1" applyAlignment="1">
      <alignment horizontal="right"/>
    </xf>
    <xf numFmtId="0" fontId="3" fillId="4" borderId="0" xfId="0" applyFont="1" applyFill="1" applyBorder="1" applyAlignment="1">
      <alignment horizontal="left" vertical="center"/>
    </xf>
    <xf numFmtId="0" fontId="3" fillId="4" borderId="0" xfId="0" applyFont="1" applyFill="1" applyBorder="1" applyAlignment="1">
      <alignment horizontal="center" vertical="center"/>
    </xf>
    <xf numFmtId="43" fontId="3" fillId="4" borderId="0" xfId="1" applyFont="1" applyFill="1" applyBorder="1" applyAlignment="1">
      <alignment horizontal="center" vertical="center"/>
    </xf>
    <xf numFmtId="4" fontId="3" fillId="4" borderId="0" xfId="0" applyNumberFormat="1" applyFont="1" applyFill="1" applyBorder="1" applyAlignment="1">
      <alignment horizontal="center" vertical="center"/>
    </xf>
    <xf numFmtId="43" fontId="3" fillId="0" borderId="1" xfId="1" applyFont="1" applyBorder="1" applyAlignment="1">
      <alignment horizontal="right" wrapText="1"/>
    </xf>
    <xf numFmtId="43" fontId="3" fillId="0" borderId="0" xfId="1" applyFont="1" applyBorder="1" applyAlignment="1">
      <alignment horizontal="right" wrapText="1"/>
    </xf>
    <xf numFmtId="0" fontId="11" fillId="0" borderId="0" xfId="0" applyFont="1" applyBorder="1" applyAlignment="1">
      <alignment horizontal="left" wrapText="1"/>
    </xf>
    <xf numFmtId="43" fontId="11" fillId="0" borderId="0" xfId="1" applyFont="1" applyBorder="1" applyAlignment="1">
      <alignment horizontal="right" wrapText="1"/>
    </xf>
    <xf numFmtId="10" fontId="11" fillId="0" borderId="0" xfId="0" applyNumberFormat="1" applyFont="1" applyBorder="1"/>
    <xf numFmtId="0" fontId="4" fillId="0" borderId="0" xfId="0" applyFont="1" applyAlignment="1">
      <alignment vertical="center" wrapText="1"/>
    </xf>
    <xf numFmtId="0" fontId="7" fillId="0" borderId="0" xfId="0" applyFont="1"/>
    <xf numFmtId="43" fontId="7" fillId="0" borderId="0" xfId="1" applyFont="1"/>
    <xf numFmtId="0" fontId="2" fillId="4" borderId="1" xfId="0" applyFont="1" applyFill="1" applyBorder="1" applyAlignment="1">
      <alignment vertical="center" wrapText="1"/>
    </xf>
    <xf numFmtId="0" fontId="2" fillId="0" borderId="1" xfId="0" applyFont="1" applyBorder="1" applyAlignment="1">
      <alignment horizontal="center"/>
    </xf>
    <xf numFmtId="43" fontId="3" fillId="0" borderId="1" xfId="1" applyFont="1" applyFill="1" applyBorder="1" applyAlignment="1">
      <alignment horizontal="right" vertical="center"/>
    </xf>
    <xf numFmtId="43" fontId="2" fillId="4" borderId="1" xfId="1" applyFont="1" applyFill="1" applyBorder="1" applyAlignment="1">
      <alignment horizontal="right" vertical="center"/>
    </xf>
    <xf numFmtId="0" fontId="2" fillId="0" borderId="0" xfId="0" applyFont="1" applyFill="1" applyBorder="1" applyAlignment="1">
      <alignment vertical="center" wrapText="1"/>
    </xf>
    <xf numFmtId="4" fontId="12" fillId="0" borderId="0" xfId="0" applyNumberFormat="1" applyFont="1" applyFill="1" applyBorder="1" applyAlignment="1">
      <alignment horizontal="right" vertical="center"/>
    </xf>
    <xf numFmtId="43" fontId="2" fillId="0" borderId="0" xfId="1" applyFont="1" applyFill="1" applyBorder="1" applyAlignment="1">
      <alignment horizontal="right" vertical="center"/>
    </xf>
    <xf numFmtId="0" fontId="2" fillId="0" borderId="0" xfId="0" applyFont="1" applyAlignment="1">
      <alignment horizontal="left" vertical="center" wrapText="1"/>
    </xf>
    <xf numFmtId="43" fontId="2" fillId="0" borderId="0" xfId="1" applyFont="1" applyAlignment="1">
      <alignment horizontal="left" vertical="center" wrapText="1"/>
    </xf>
    <xf numFmtId="43" fontId="2" fillId="4" borderId="1" xfId="1" applyFont="1" applyFill="1" applyBorder="1" applyAlignment="1">
      <alignment horizontal="center" vertical="center"/>
    </xf>
    <xf numFmtId="0" fontId="2" fillId="10" borderId="1" xfId="0" applyFont="1" applyFill="1" applyBorder="1" applyAlignment="1">
      <alignment horizontal="center"/>
    </xf>
    <xf numFmtId="166" fontId="2" fillId="0" borderId="1" xfId="0" applyNumberFormat="1" applyFont="1" applyBorder="1"/>
    <xf numFmtId="0" fontId="2" fillId="0" borderId="1" xfId="0" applyFont="1" applyBorder="1" applyAlignment="1">
      <alignment horizontal="left" vertical="center" wrapText="1"/>
    </xf>
    <xf numFmtId="43" fontId="2" fillId="0" borderId="1" xfId="0" applyNumberFormat="1" applyFont="1" applyBorder="1" applyAlignment="1">
      <alignment horizontal="left" vertical="center" wrapText="1"/>
    </xf>
    <xf numFmtId="0" fontId="5" fillId="0" borderId="1" xfId="0" applyFont="1" applyBorder="1" applyAlignment="1">
      <alignment horizontal="justify" vertical="center" wrapText="1"/>
    </xf>
    <xf numFmtId="43" fontId="6" fillId="0" borderId="1" xfId="1" applyFont="1" applyBorder="1" applyAlignment="1">
      <alignment vertical="center" wrapText="1"/>
    </xf>
    <xf numFmtId="43" fontId="3" fillId="0" borderId="0" xfId="0" applyNumberFormat="1" applyFont="1"/>
    <xf numFmtId="43" fontId="3" fillId="2" borderId="0" xfId="0" applyNumberFormat="1" applyFont="1" applyFill="1"/>
    <xf numFmtId="43" fontId="6" fillId="0" borderId="1" xfId="1" applyFont="1" applyBorder="1" applyAlignment="1">
      <alignment vertical="center"/>
    </xf>
    <xf numFmtId="43" fontId="8" fillId="4" borderId="1" xfId="1" applyFont="1" applyFill="1" applyBorder="1" applyAlignment="1">
      <alignment vertical="center" wrapText="1"/>
    </xf>
    <xf numFmtId="0" fontId="8" fillId="0" borderId="6" xfId="0" applyFont="1" applyFill="1" applyBorder="1" applyAlignment="1">
      <alignment horizontal="center" vertical="center" wrapText="1"/>
    </xf>
    <xf numFmtId="43" fontId="9" fillId="0" borderId="6" xfId="1" applyFont="1" applyFill="1" applyBorder="1" applyAlignment="1">
      <alignment vertical="center" wrapText="1"/>
    </xf>
    <xf numFmtId="4" fontId="8" fillId="0" borderId="0" xfId="0" applyNumberFormat="1" applyFont="1" applyFill="1" applyBorder="1" applyAlignment="1">
      <alignment vertical="center" wrapText="1"/>
    </xf>
    <xf numFmtId="0" fontId="6" fillId="0" borderId="0" xfId="0" applyFont="1" applyBorder="1" applyAlignment="1">
      <alignment horizontal="left" vertical="center" wrapText="1"/>
    </xf>
    <xf numFmtId="43" fontId="2" fillId="0" borderId="0" xfId="1" applyFont="1" applyAlignment="1">
      <alignment horizontal="justify" vertical="center" wrapText="1"/>
    </xf>
    <xf numFmtId="0" fontId="3" fillId="0" borderId="1" xfId="0" applyFont="1" applyBorder="1"/>
    <xf numFmtId="1" fontId="2" fillId="4" borderId="1" xfId="0" applyNumberFormat="1" applyFont="1" applyFill="1" applyBorder="1" applyAlignment="1">
      <alignment horizontal="center" vertical="center" wrapText="1"/>
    </xf>
    <xf numFmtId="4" fontId="3" fillId="0" borderId="1" xfId="0" applyNumberFormat="1" applyFont="1" applyBorder="1" applyAlignment="1">
      <alignment horizontal="right" vertical="center" wrapText="1"/>
    </xf>
    <xf numFmtId="0" fontId="2" fillId="4" borderId="1" xfId="0" applyFont="1" applyFill="1" applyBorder="1" applyAlignment="1">
      <alignment horizontal="left" vertical="center" wrapText="1"/>
    </xf>
    <xf numFmtId="4" fontId="2" fillId="4" borderId="1" xfId="0" applyNumberFormat="1" applyFont="1" applyFill="1" applyBorder="1" applyAlignment="1">
      <alignment horizontal="right" vertical="center" wrapText="1"/>
    </xf>
    <xf numFmtId="43" fontId="2" fillId="4" borderId="1" xfId="1" applyFont="1" applyFill="1" applyBorder="1" applyAlignment="1">
      <alignment horizontal="right" vertical="center" wrapText="1"/>
    </xf>
    <xf numFmtId="0" fontId="2" fillId="4" borderId="0" xfId="0" applyFont="1" applyFill="1" applyBorder="1" applyAlignment="1">
      <alignment horizontal="center" vertical="center" wrapText="1"/>
    </xf>
    <xf numFmtId="43" fontId="9" fillId="4" borderId="0" xfId="1" applyFont="1" applyFill="1" applyBorder="1" applyAlignment="1">
      <alignment horizontal="right" vertical="center" wrapText="1"/>
    </xf>
    <xf numFmtId="43" fontId="2" fillId="4" borderId="0" xfId="1" applyFont="1" applyFill="1" applyBorder="1" applyAlignment="1">
      <alignment horizontal="right" vertical="center" wrapText="1"/>
    </xf>
    <xf numFmtId="4" fontId="2" fillId="4" borderId="0" xfId="0" applyNumberFormat="1" applyFont="1" applyFill="1" applyBorder="1" applyAlignment="1">
      <alignment horizontal="right" vertical="center" wrapText="1"/>
    </xf>
    <xf numFmtId="43" fontId="5" fillId="0" borderId="1" xfId="1" applyFont="1" applyBorder="1" applyAlignment="1">
      <alignment horizontal="right" vertical="center" wrapText="1"/>
    </xf>
    <xf numFmtId="0" fontId="3" fillId="5" borderId="1" xfId="0" applyFont="1" applyFill="1" applyBorder="1" applyAlignment="1">
      <alignment vertical="center" wrapText="1"/>
    </xf>
    <xf numFmtId="4" fontId="3" fillId="0" borderId="1" xfId="0" applyNumberFormat="1" applyFont="1" applyBorder="1" applyAlignment="1">
      <alignment vertical="center"/>
    </xf>
    <xf numFmtId="4" fontId="13" fillId="2" borderId="0" xfId="0" applyNumberFormat="1" applyFont="1" applyFill="1"/>
    <xf numFmtId="0" fontId="4" fillId="10" borderId="1" xfId="0" applyFont="1" applyFill="1" applyBorder="1" applyAlignment="1">
      <alignment horizontal="center" vertical="center" wrapText="1"/>
    </xf>
    <xf numFmtId="43" fontId="5" fillId="0" borderId="1" xfId="1" applyFont="1" applyBorder="1" applyAlignment="1">
      <alignment horizontal="left" vertical="center" wrapText="1"/>
    </xf>
    <xf numFmtId="0" fontId="4" fillId="10" borderId="1" xfId="0" applyFont="1" applyFill="1" applyBorder="1" applyAlignment="1">
      <alignment horizontal="left" vertical="center" wrapText="1"/>
    </xf>
    <xf numFmtId="43" fontId="4" fillId="10" borderId="1" xfId="1" applyFont="1" applyFill="1" applyBorder="1" applyAlignment="1">
      <alignment horizontal="left" vertical="center" wrapText="1"/>
    </xf>
    <xf numFmtId="0" fontId="4" fillId="0" borderId="0" xfId="0" applyFont="1" applyFill="1" applyBorder="1" applyAlignment="1">
      <alignment horizontal="left" vertical="center" wrapText="1"/>
    </xf>
    <xf numFmtId="43" fontId="4" fillId="0" borderId="0" xfId="1" applyFont="1" applyFill="1" applyBorder="1" applyAlignment="1">
      <alignment horizontal="left" vertical="center" wrapText="1"/>
    </xf>
    <xf numFmtId="0" fontId="3" fillId="6" borderId="1" xfId="0" applyFont="1" applyFill="1" applyBorder="1" applyAlignment="1">
      <alignment vertical="center" wrapText="1"/>
    </xf>
    <xf numFmtId="43" fontId="3" fillId="6" borderId="1" xfId="1" applyFont="1" applyFill="1" applyBorder="1" applyAlignment="1">
      <alignment horizontal="right" vertical="center"/>
    </xf>
    <xf numFmtId="0" fontId="2" fillId="4" borderId="1" xfId="0" applyFont="1" applyFill="1" applyBorder="1" applyAlignment="1">
      <alignment horizontal="justify" vertical="center" wrapText="1"/>
    </xf>
    <xf numFmtId="4" fontId="2" fillId="0" borderId="1" xfId="0" applyNumberFormat="1" applyFont="1" applyBorder="1" applyAlignment="1">
      <alignment vertical="center"/>
    </xf>
    <xf numFmtId="43" fontId="14" fillId="0" borderId="0" xfId="1" applyFont="1"/>
    <xf numFmtId="43" fontId="2" fillId="5" borderId="1" xfId="1" applyFont="1" applyFill="1" applyBorder="1" applyAlignment="1">
      <alignment horizontal="right" wrapText="1"/>
    </xf>
    <xf numFmtId="10" fontId="2" fillId="5" borderId="1" xfId="0" applyNumberFormat="1" applyFont="1" applyFill="1" applyBorder="1"/>
    <xf numFmtId="0" fontId="3" fillId="6" borderId="1" xfId="0" applyFont="1" applyFill="1" applyBorder="1" applyAlignment="1">
      <alignment horizontal="justify" vertical="center" wrapText="1"/>
    </xf>
    <xf numFmtId="0" fontId="3" fillId="3" borderId="1" xfId="0" applyFont="1" applyFill="1" applyBorder="1" applyAlignment="1">
      <alignment horizontal="justify" vertical="center" wrapText="1"/>
    </xf>
    <xf numFmtId="4" fontId="3" fillId="3" borderId="1" xfId="0" applyNumberFormat="1" applyFont="1" applyFill="1" applyBorder="1" applyAlignment="1">
      <alignment horizontal="right" vertical="center"/>
    </xf>
    <xf numFmtId="43" fontId="3" fillId="3" borderId="1" xfId="1" applyFont="1" applyFill="1" applyBorder="1" applyAlignment="1">
      <alignment horizontal="right" vertical="center"/>
    </xf>
    <xf numFmtId="4" fontId="3" fillId="3" borderId="1" xfId="0" applyNumberFormat="1" applyFont="1" applyFill="1" applyBorder="1"/>
    <xf numFmtId="4" fontId="3" fillId="10" borderId="1" xfId="0" applyNumberFormat="1" applyFont="1" applyFill="1" applyBorder="1" applyAlignment="1">
      <alignment vertical="center"/>
    </xf>
    <xf numFmtId="4" fontId="6" fillId="0" borderId="1" xfId="0" applyNumberFormat="1" applyFont="1" applyBorder="1" applyAlignment="1">
      <alignment horizontal="right" vertical="center"/>
    </xf>
    <xf numFmtId="0" fontId="2" fillId="0" borderId="0" xfId="0" applyFont="1" applyFill="1" applyBorder="1" applyAlignment="1">
      <alignment horizontal="justify" vertical="center" wrapText="1"/>
    </xf>
    <xf numFmtId="43" fontId="2" fillId="0" borderId="0" xfId="1" applyFont="1" applyBorder="1" applyAlignment="1">
      <alignment horizontal="left" wrapText="1"/>
    </xf>
    <xf numFmtId="43" fontId="15" fillId="0" borderId="0" xfId="1" applyFont="1" applyFill="1" applyBorder="1" applyAlignment="1">
      <alignment horizontal="right" vertical="center"/>
    </xf>
    <xf numFmtId="4" fontId="2" fillId="0" borderId="0" xfId="0" applyNumberFormat="1" applyFont="1" applyBorder="1" applyAlignment="1">
      <alignment horizontal="left" wrapText="1"/>
    </xf>
    <xf numFmtId="0" fontId="2" fillId="5" borderId="0" xfId="0" applyFont="1" applyFill="1"/>
    <xf numFmtId="43" fontId="6" fillId="6" borderId="1" xfId="1" applyFont="1" applyFill="1" applyBorder="1" applyAlignment="1">
      <alignment horizontal="right" vertical="center"/>
    </xf>
    <xf numFmtId="43" fontId="3" fillId="0" borderId="1" xfId="1" applyFont="1" applyBorder="1" applyAlignment="1">
      <alignment vertical="center"/>
    </xf>
    <xf numFmtId="43" fontId="3" fillId="0" borderId="1" xfId="1" applyFont="1" applyBorder="1" applyAlignment="1">
      <alignment horizontal="center" vertical="center"/>
    </xf>
    <xf numFmtId="4" fontId="8" fillId="4" borderId="1" xfId="0" applyNumberFormat="1" applyFont="1" applyFill="1" applyBorder="1" applyAlignment="1">
      <alignment horizontal="center" vertical="center"/>
    </xf>
    <xf numFmtId="0" fontId="4" fillId="4" borderId="1" xfId="0" applyFont="1" applyFill="1" applyBorder="1" applyAlignment="1">
      <alignment horizontal="center" vertical="center"/>
    </xf>
    <xf numFmtId="0" fontId="2" fillId="4" borderId="0" xfId="0" applyFont="1" applyFill="1" applyBorder="1" applyAlignment="1">
      <alignment horizontal="justify" vertical="center" wrapText="1"/>
    </xf>
    <xf numFmtId="4" fontId="9" fillId="4" borderId="0" xfId="0" applyNumberFormat="1" applyFont="1" applyFill="1" applyBorder="1" applyAlignment="1">
      <alignment horizontal="right" vertical="center"/>
    </xf>
    <xf numFmtId="43" fontId="2" fillId="0" borderId="1" xfId="1" applyFont="1" applyFill="1" applyBorder="1" applyAlignment="1">
      <alignment horizontal="right" wrapText="1"/>
    </xf>
    <xf numFmtId="10" fontId="2" fillId="0" borderId="1" xfId="0" applyNumberFormat="1" applyFont="1" applyFill="1" applyBorder="1"/>
    <xf numFmtId="43" fontId="2" fillId="0" borderId="0" xfId="1" applyFont="1" applyFill="1" applyBorder="1" applyAlignment="1">
      <alignment horizontal="right" wrapText="1"/>
    </xf>
    <xf numFmtId="10" fontId="2" fillId="0" borderId="0" xfId="0" applyNumberFormat="1" applyFont="1" applyFill="1" applyBorder="1"/>
    <xf numFmtId="0" fontId="2" fillId="2" borderId="0" xfId="0" applyFont="1" applyFill="1" applyAlignment="1">
      <alignment horizontal="center"/>
    </xf>
    <xf numFmtId="0" fontId="3" fillId="0" borderId="0" xfId="0" applyFont="1" applyAlignment="1">
      <alignment horizontal="center"/>
    </xf>
    <xf numFmtId="0" fontId="3" fillId="0" borderId="1" xfId="0" applyFont="1" applyBorder="1" applyAlignment="1">
      <alignment horizontal="center"/>
    </xf>
    <xf numFmtId="0" fontId="2" fillId="10" borderId="1" xfId="0" applyFont="1" applyFill="1" applyBorder="1"/>
    <xf numFmtId="43" fontId="2" fillId="10" borderId="1" xfId="1" applyFont="1" applyFill="1" applyBorder="1" applyAlignment="1">
      <alignment horizontal="right"/>
    </xf>
    <xf numFmtId="0" fontId="3" fillId="0" borderId="0" xfId="0" applyFont="1" applyAlignment="1">
      <alignment horizontal="left" wrapText="1"/>
    </xf>
    <xf numFmtId="3" fontId="3" fillId="0" borderId="0" xfId="0" applyNumberFormat="1" applyFont="1"/>
    <xf numFmtId="3" fontId="3" fillId="0" borderId="0" xfId="0" applyNumberFormat="1" applyFont="1" applyAlignment="1">
      <alignment horizontal="center"/>
    </xf>
    <xf numFmtId="0" fontId="18" fillId="0" borderId="0" xfId="2"/>
    <xf numFmtId="0" fontId="19" fillId="0" borderId="0" xfId="2" applyFont="1" applyAlignment="1">
      <alignment horizontal="center" vertical="center"/>
    </xf>
    <xf numFmtId="0" fontId="18" fillId="0" borderId="7" xfId="2" applyFont="1" applyBorder="1" applyAlignment="1">
      <alignment vertical="center"/>
    </xf>
    <xf numFmtId="0" fontId="18" fillId="0" borderId="8" xfId="2" applyFont="1" applyBorder="1" applyAlignment="1">
      <alignment vertical="center"/>
    </xf>
    <xf numFmtId="4" fontId="18" fillId="0" borderId="8" xfId="2" applyNumberFormat="1" applyFont="1" applyBorder="1" applyAlignment="1">
      <alignment vertical="center"/>
    </xf>
    <xf numFmtId="0" fontId="18" fillId="0" borderId="9" xfId="2" applyFont="1" applyBorder="1" applyAlignment="1">
      <alignment vertical="center"/>
    </xf>
    <xf numFmtId="0" fontId="18" fillId="0" borderId="10" xfId="2" applyFont="1" applyBorder="1" applyAlignment="1">
      <alignment vertical="center"/>
    </xf>
    <xf numFmtId="4" fontId="18" fillId="0" borderId="10" xfId="2" applyNumberFormat="1" applyFont="1" applyBorder="1" applyAlignment="1">
      <alignment vertical="center"/>
    </xf>
    <xf numFmtId="0" fontId="19" fillId="0" borderId="0" xfId="2" applyFont="1" applyAlignment="1">
      <alignment vertical="center"/>
    </xf>
    <xf numFmtId="4" fontId="19" fillId="0" borderId="0" xfId="2" applyNumberFormat="1" applyFont="1" applyAlignment="1">
      <alignment vertical="center"/>
    </xf>
    <xf numFmtId="0" fontId="18" fillId="0" borderId="0" xfId="2" applyAlignment="1">
      <alignment vertical="center"/>
    </xf>
    <xf numFmtId="0" fontId="19" fillId="0" borderId="0" xfId="2" applyFont="1"/>
    <xf numFmtId="0" fontId="18" fillId="0" borderId="0" xfId="2" applyNumberFormat="1" applyFont="1" applyFill="1" applyBorder="1" applyAlignment="1" applyProtection="1"/>
    <xf numFmtId="43" fontId="18" fillId="0" borderId="0" xfId="3" applyFont="1"/>
    <xf numFmtId="0" fontId="19" fillId="0" borderId="0" xfId="2" applyFont="1" applyAlignment="1">
      <alignment horizontal="center"/>
    </xf>
    <xf numFmtId="43" fontId="19" fillId="0" borderId="0" xfId="3" applyFont="1" applyAlignment="1">
      <alignment horizontal="center"/>
    </xf>
    <xf numFmtId="0" fontId="18" fillId="0" borderId="11" xfId="2" applyBorder="1"/>
    <xf numFmtId="43" fontId="18" fillId="0" borderId="11" xfId="3" applyFont="1" applyBorder="1"/>
    <xf numFmtId="43" fontId="18" fillId="0" borderId="11" xfId="2" applyNumberFormat="1" applyBorder="1"/>
    <xf numFmtId="43" fontId="19" fillId="0" borderId="0" xfId="3" applyFont="1"/>
    <xf numFmtId="43" fontId="19" fillId="0" borderId="0" xfId="2" applyNumberFormat="1" applyFont="1"/>
    <xf numFmtId="0" fontId="3" fillId="0" borderId="0" xfId="0" applyFont="1" applyAlignment="1">
      <alignment horizontal="left" vertical="center" wrapText="1"/>
    </xf>
    <xf numFmtId="0" fontId="4" fillId="0" borderId="2" xfId="0" applyFont="1" applyBorder="1" applyAlignment="1">
      <alignment horizontal="left" wrapText="1"/>
    </xf>
    <xf numFmtId="0" fontId="4" fillId="0" borderId="3" xfId="0" applyFont="1" applyBorder="1" applyAlignment="1">
      <alignment horizontal="left" wrapText="1"/>
    </xf>
    <xf numFmtId="0" fontId="2" fillId="0" borderId="0" xfId="0" applyFont="1" applyFill="1" applyAlignment="1">
      <alignment horizontal="left" wrapText="1"/>
    </xf>
    <xf numFmtId="0" fontId="5" fillId="0" borderId="0" xfId="0" applyFont="1" applyFill="1" applyBorder="1" applyAlignment="1">
      <alignment horizontal="left" vertical="center" wrapText="1"/>
    </xf>
    <xf numFmtId="0" fontId="5" fillId="0" borderId="0" xfId="0" applyFont="1" applyAlignment="1">
      <alignment horizontal="left" vertical="center" wrapText="1"/>
    </xf>
    <xf numFmtId="0" fontId="7" fillId="0" borderId="0" xfId="0" applyFont="1" applyAlignment="1">
      <alignment horizontal="left" vertical="center" wrapText="1"/>
    </xf>
    <xf numFmtId="0" fontId="5" fillId="0" borderId="0" xfId="0" applyFont="1" applyFill="1" applyAlignment="1">
      <alignment horizontal="left" vertical="center" wrapText="1"/>
    </xf>
    <xf numFmtId="0" fontId="10" fillId="0" borderId="0" xfId="0" applyFont="1" applyAlignment="1">
      <alignment horizontal="left" vertical="center" wrapText="1"/>
    </xf>
    <xf numFmtId="0" fontId="2" fillId="4" borderId="1" xfId="0" applyFont="1" applyFill="1" applyBorder="1" applyAlignment="1">
      <alignment horizontal="center" vertical="center"/>
    </xf>
    <xf numFmtId="0" fontId="6" fillId="0" borderId="6" xfId="0" applyFont="1" applyBorder="1" applyAlignment="1">
      <alignment horizontal="left" vertical="center" wrapText="1"/>
    </xf>
    <xf numFmtId="0" fontId="2" fillId="0" borderId="5" xfId="0" applyFont="1" applyBorder="1" applyAlignment="1">
      <alignment vertical="center" wrapText="1"/>
    </xf>
    <xf numFmtId="0" fontId="2" fillId="0" borderId="0" xfId="0" applyFont="1" applyAlignment="1">
      <alignment horizontal="left" vertical="center" wrapText="1"/>
    </xf>
    <xf numFmtId="0" fontId="2" fillId="0" borderId="2" xfId="0" applyFont="1" applyBorder="1" applyAlignment="1">
      <alignment horizontal="left" wrapText="1"/>
    </xf>
    <xf numFmtId="0" fontId="2" fillId="0" borderId="3" xfId="0" applyFont="1" applyBorder="1" applyAlignment="1">
      <alignment horizontal="left" wrapText="1"/>
    </xf>
    <xf numFmtId="0" fontId="3" fillId="0" borderId="0" xfId="0" applyFont="1" applyFill="1" applyAlignment="1">
      <alignment horizontal="left" vertical="center" wrapText="1"/>
    </xf>
    <xf numFmtId="0" fontId="2" fillId="0" borderId="0" xfId="0" applyFont="1" applyAlignment="1">
      <alignment horizontal="left" vertical="center"/>
    </xf>
    <xf numFmtId="0" fontId="3" fillId="5" borderId="0" xfId="0" applyFont="1" applyFill="1" applyAlignment="1">
      <alignment horizontal="left" vertical="center" wrapText="1"/>
    </xf>
    <xf numFmtId="0" fontId="3" fillId="0" borderId="0" xfId="0" applyFont="1" applyFill="1" applyAlignment="1">
      <alignment horizontal="left" wrapText="1"/>
    </xf>
    <xf numFmtId="0" fontId="2" fillId="0" borderId="0" xfId="0" applyFont="1" applyAlignment="1">
      <alignment horizontal="left"/>
    </xf>
    <xf numFmtId="0" fontId="3" fillId="3" borderId="0" xfId="0" applyFont="1" applyFill="1" applyAlignment="1">
      <alignment horizontal="left" vertical="center" wrapText="1"/>
    </xf>
    <xf numFmtId="0" fontId="6" fillId="0" borderId="0" xfId="0" applyFont="1" applyAlignment="1">
      <alignment horizontal="left" vertical="center" wrapText="1"/>
    </xf>
    <xf numFmtId="0" fontId="2" fillId="0" borderId="0" xfId="0" applyFont="1" applyAlignment="1">
      <alignment horizontal="center"/>
    </xf>
    <xf numFmtId="0" fontId="19" fillId="0" borderId="0" xfId="2" applyFont="1" applyAlignment="1">
      <alignment vertical="center"/>
    </xf>
  </cellXfs>
  <cellStyles count="4">
    <cellStyle name="Millares" xfId="1" builtinId="3"/>
    <cellStyle name="Millares 2" xfId="3"/>
    <cellStyle name="Normal" xfId="0" builtinId="0"/>
    <cellStyle name="Normal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jpeg"/><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editAs="oneCell">
    <xdr:from>
      <xdr:col>0</xdr:col>
      <xdr:colOff>85725</xdr:colOff>
      <xdr:row>0</xdr:row>
      <xdr:rowOff>0</xdr:rowOff>
    </xdr:from>
    <xdr:to>
      <xdr:col>5</xdr:col>
      <xdr:colOff>0</xdr:colOff>
      <xdr:row>4</xdr:row>
      <xdr:rowOff>57150</xdr:rowOff>
    </xdr:to>
    <xdr:pic>
      <xdr:nvPicPr>
        <xdr:cNvPr id="2" name="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0"/>
          <a:ext cx="63246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9525</xdr:colOff>
      <xdr:row>37</xdr:row>
      <xdr:rowOff>47625</xdr:rowOff>
    </xdr:from>
    <xdr:to>
      <xdr:col>4</xdr:col>
      <xdr:colOff>657225</xdr:colOff>
      <xdr:row>38</xdr:row>
      <xdr:rowOff>76200</xdr:rowOff>
    </xdr:to>
    <xdr:pic>
      <xdr:nvPicPr>
        <xdr:cNvPr id="3" name="4 Imagen"/>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990850" y="9496425"/>
          <a:ext cx="30765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39</xdr:row>
      <xdr:rowOff>9525</xdr:rowOff>
    </xdr:from>
    <xdr:to>
      <xdr:col>5</xdr:col>
      <xdr:colOff>0</xdr:colOff>
      <xdr:row>41</xdr:row>
      <xdr:rowOff>171450</xdr:rowOff>
    </xdr:to>
    <xdr:pic>
      <xdr:nvPicPr>
        <xdr:cNvPr id="4" name="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393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76200</xdr:colOff>
      <xdr:row>100</xdr:row>
      <xdr:rowOff>114300</xdr:rowOff>
    </xdr:from>
    <xdr:to>
      <xdr:col>5</xdr:col>
      <xdr:colOff>0</xdr:colOff>
      <xdr:row>102</xdr:row>
      <xdr:rowOff>0</xdr:rowOff>
    </xdr:to>
    <xdr:pic>
      <xdr:nvPicPr>
        <xdr:cNvPr id="5" name="10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 y="29346525"/>
          <a:ext cx="6324600" cy="542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130</xdr:row>
      <xdr:rowOff>19050</xdr:rowOff>
    </xdr:from>
    <xdr:to>
      <xdr:col>5</xdr:col>
      <xdr:colOff>0</xdr:colOff>
      <xdr:row>133</xdr:row>
      <xdr:rowOff>28575</xdr:rowOff>
    </xdr:to>
    <xdr:pic>
      <xdr:nvPicPr>
        <xdr:cNvPr id="6" name="12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09675"/>
          <a:ext cx="638175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184</xdr:row>
      <xdr:rowOff>123825</xdr:rowOff>
    </xdr:from>
    <xdr:to>
      <xdr:col>5</xdr:col>
      <xdr:colOff>0</xdr:colOff>
      <xdr:row>187</xdr:row>
      <xdr:rowOff>9525</xdr:rowOff>
    </xdr:to>
    <xdr:pic>
      <xdr:nvPicPr>
        <xdr:cNvPr id="7" name="15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491585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239</xdr:row>
      <xdr:rowOff>95250</xdr:rowOff>
    </xdr:from>
    <xdr:to>
      <xdr:col>5</xdr:col>
      <xdr:colOff>0</xdr:colOff>
      <xdr:row>242</xdr:row>
      <xdr:rowOff>38100</xdr:rowOff>
    </xdr:to>
    <xdr:pic>
      <xdr:nvPicPr>
        <xdr:cNvPr id="8"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58797825"/>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47625</xdr:colOff>
      <xdr:row>414</xdr:row>
      <xdr:rowOff>66675</xdr:rowOff>
    </xdr:from>
    <xdr:to>
      <xdr:col>5</xdr:col>
      <xdr:colOff>0</xdr:colOff>
      <xdr:row>417</xdr:row>
      <xdr:rowOff>95250</xdr:rowOff>
    </xdr:to>
    <xdr:pic>
      <xdr:nvPicPr>
        <xdr:cNvPr id="9" name="23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 y="78333600"/>
          <a:ext cx="630555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19050</xdr:colOff>
      <xdr:row>466</xdr:row>
      <xdr:rowOff>76200</xdr:rowOff>
    </xdr:from>
    <xdr:to>
      <xdr:col>5</xdr:col>
      <xdr:colOff>0</xdr:colOff>
      <xdr:row>468</xdr:row>
      <xdr:rowOff>133350</xdr:rowOff>
    </xdr:to>
    <xdr:pic>
      <xdr:nvPicPr>
        <xdr:cNvPr id="10" name="26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4775" y="88096725"/>
          <a:ext cx="630555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505</xdr:row>
      <xdr:rowOff>85725</xdr:rowOff>
    </xdr:from>
    <xdr:to>
      <xdr:col>5</xdr:col>
      <xdr:colOff>0</xdr:colOff>
      <xdr:row>508</xdr:row>
      <xdr:rowOff>85725</xdr:rowOff>
    </xdr:to>
    <xdr:pic>
      <xdr:nvPicPr>
        <xdr:cNvPr id="11"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98155125"/>
          <a:ext cx="6391275"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28575</xdr:colOff>
      <xdr:row>548</xdr:row>
      <xdr:rowOff>57150</xdr:rowOff>
    </xdr:from>
    <xdr:to>
      <xdr:col>5</xdr:col>
      <xdr:colOff>0</xdr:colOff>
      <xdr:row>551</xdr:row>
      <xdr:rowOff>85725</xdr:rowOff>
    </xdr:to>
    <xdr:pic>
      <xdr:nvPicPr>
        <xdr:cNvPr id="12"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078992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95250</xdr:colOff>
      <xdr:row>595</xdr:row>
      <xdr:rowOff>104775</xdr:rowOff>
    </xdr:from>
    <xdr:to>
      <xdr:col>5</xdr:col>
      <xdr:colOff>0</xdr:colOff>
      <xdr:row>597</xdr:row>
      <xdr:rowOff>0</xdr:rowOff>
    </xdr:to>
    <xdr:pic>
      <xdr:nvPicPr>
        <xdr:cNvPr id="13"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0975" y="11778615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362</xdr:row>
      <xdr:rowOff>0</xdr:rowOff>
    </xdr:from>
    <xdr:to>
      <xdr:col>5</xdr:col>
      <xdr:colOff>0</xdr:colOff>
      <xdr:row>364</xdr:row>
      <xdr:rowOff>133350</xdr:rowOff>
    </xdr:to>
    <xdr:pic>
      <xdr:nvPicPr>
        <xdr:cNvPr id="14" name="19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725" y="68751450"/>
          <a:ext cx="630555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9525</xdr:colOff>
      <xdr:row>641</xdr:row>
      <xdr:rowOff>57150</xdr:rowOff>
    </xdr:from>
    <xdr:to>
      <xdr:col>5</xdr:col>
      <xdr:colOff>0</xdr:colOff>
      <xdr:row>644</xdr:row>
      <xdr:rowOff>0</xdr:rowOff>
    </xdr:to>
    <xdr:pic>
      <xdr:nvPicPr>
        <xdr:cNvPr id="15" name="28 Imagen"/>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0" y="127596900"/>
          <a:ext cx="6286500" cy="600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mc:AlternateContent xmlns:mc="http://schemas.openxmlformats.org/markup-compatibility/2006">
    <mc:Choice xmlns:a14="http://schemas.microsoft.com/office/drawing/2010/main" Requires="a14">
      <xdr:twoCellAnchor editAs="oneCell">
        <xdr:from>
          <xdr:col>1</xdr:col>
          <xdr:colOff>0</xdr:colOff>
          <xdr:row>328</xdr:row>
          <xdr:rowOff>76200</xdr:rowOff>
        </xdr:from>
        <xdr:to>
          <xdr:col>25</xdr:col>
          <xdr:colOff>91017</xdr:colOff>
          <xdr:row>360</xdr:row>
          <xdr:rowOff>168275</xdr:rowOff>
        </xdr:to>
        <xdr:pic>
          <xdr:nvPicPr>
            <xdr:cNvPr id="16" name="18 Imagen"/>
            <xdr:cNvPicPr>
              <a:picLocks noChangeAspect="1" noChangeArrowheads="1"/>
              <a:extLst>
                <a:ext uri="{84589F7E-364E-4C9E-8A38-B11213B215E9}">
                  <a14:cameraTool cellRange="[1]nota12!$A$6:$K$32" spid="_x0000_s1033"/>
                </a:ext>
              </a:extLst>
            </xdr:cNvPicPr>
          </xdr:nvPicPr>
          <xdr:blipFill>
            <a:blip xmlns:r="http://schemas.openxmlformats.org/officeDocument/2006/relationships" r:embed="rId3"/>
            <a:srcRect/>
            <a:stretch>
              <a:fillRect/>
            </a:stretch>
          </xdr:blipFill>
          <xdr:spPr bwMode="auto">
            <a:xfrm>
              <a:off x="85725" y="62207775"/>
              <a:ext cx="10911417" cy="644525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pic>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MAILENY%20%20%202\ESTADO%20CORAAMOCA%20CG%2012%20202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
      <sheetName val="indce"/>
      <sheetName val="ajustes R"/>
      <sheetName val="Au"/>
      <sheetName val="Hoja3"/>
      <sheetName val="Hoja5"/>
      <sheetName val="Mat"/>
      <sheetName val="BALANZA"/>
      <sheetName val="BALANZA G"/>
      <sheetName val="DE"/>
      <sheetName val="Pres A"/>
      <sheetName val="25A"/>
      <sheetName val="Notas NF"/>
      <sheetName val="nota12"/>
      <sheetName val="ESF  (2)"/>
      <sheetName val="ES F "/>
      <sheetName val="ERF"/>
      <sheetName val="EFE2"/>
      <sheetName val="EP2"/>
      <sheetName val="EEP2"/>
      <sheetName val="A"/>
      <sheetName val="Hoja8"/>
      <sheetName val="nota10inventario"/>
      <sheetName val="Rt"/>
      <sheetName val="I"/>
      <sheetName val="G"/>
      <sheetName val="V"/>
      <sheetName val="ELAI"/>
      <sheetName val="IPT"/>
      <sheetName val="PEP"/>
      <sheetName val="Notas"/>
      <sheetName val="Hoja1"/>
      <sheetName val="RESULTADO"/>
      <sheetName val="EST.Ej.PREs."/>
      <sheetName val="FLUJO"/>
      <sheetName val="PATRIMONIO"/>
      <sheetName val="Rf"/>
      <sheetName val="m"/>
      <sheetName val="1"/>
      <sheetName val="2"/>
      <sheetName val="3"/>
      <sheetName val="4"/>
      <sheetName val="5"/>
      <sheetName val="6"/>
      <sheetName val="7"/>
      <sheetName val="8"/>
      <sheetName val="9"/>
      <sheetName val="10"/>
      <sheetName val="11"/>
      <sheetName val="12"/>
      <sheetName val="13"/>
      <sheetName val="14"/>
      <sheetName val="15"/>
      <sheetName val="16"/>
      <sheetName val="17"/>
      <sheetName val="18"/>
      <sheetName val="19"/>
      <sheetName val="20"/>
      <sheetName val="21"/>
      <sheetName val="22"/>
      <sheetName val="23"/>
      <sheetName val="24"/>
      <sheetName val="25"/>
      <sheetName val="26"/>
      <sheetName val="27"/>
      <sheetName val="28"/>
      <sheetName val="Hoja2"/>
    </sheetNames>
    <sheetDataSet>
      <sheetData sheetId="0"/>
      <sheetData sheetId="1"/>
      <sheetData sheetId="2"/>
      <sheetData sheetId="3"/>
      <sheetData sheetId="4"/>
      <sheetData sheetId="5"/>
      <sheetData sheetId="6"/>
      <sheetData sheetId="7">
        <row r="3">
          <cell r="B3" t="str">
            <v>31 de Diciembre del 2025</v>
          </cell>
          <cell r="C3" t="str">
            <v>- 2024</v>
          </cell>
        </row>
        <row r="4">
          <cell r="B4">
            <v>2025</v>
          </cell>
          <cell r="C4">
            <v>2024</v>
          </cell>
        </row>
        <row r="6">
          <cell r="B6">
            <v>1485895.3399999999</v>
          </cell>
        </row>
        <row r="21">
          <cell r="B21" t="str">
            <v>OTROS EQUIPOS</v>
          </cell>
          <cell r="C21">
            <v>792057</v>
          </cell>
        </row>
      </sheetData>
      <sheetData sheetId="8">
        <row r="12">
          <cell r="C12">
            <v>0</v>
          </cell>
          <cell r="D12">
            <v>0</v>
          </cell>
        </row>
        <row r="13">
          <cell r="C13">
            <v>95000</v>
          </cell>
          <cell r="D13">
            <v>110000</v>
          </cell>
        </row>
        <row r="15">
          <cell r="C15">
            <v>80000</v>
          </cell>
          <cell r="D15">
            <v>80000</v>
          </cell>
        </row>
        <row r="22">
          <cell r="C22">
            <v>0</v>
          </cell>
          <cell r="D22">
            <v>0</v>
          </cell>
        </row>
        <row r="23">
          <cell r="C23">
            <v>1391.2</v>
          </cell>
          <cell r="D23">
            <v>236.2</v>
          </cell>
        </row>
        <row r="24">
          <cell r="C24">
            <v>0</v>
          </cell>
          <cell r="D24">
            <v>1310.75</v>
          </cell>
        </row>
        <row r="25">
          <cell r="C25">
            <v>814839.56</v>
          </cell>
          <cell r="D25">
            <v>2093182.13</v>
          </cell>
        </row>
        <row r="26">
          <cell r="C26">
            <v>331933.27</v>
          </cell>
          <cell r="D26">
            <v>453230.39</v>
          </cell>
        </row>
        <row r="27">
          <cell r="C27">
            <v>421530269.51999998</v>
          </cell>
          <cell r="D27">
            <v>302831372.16000003</v>
          </cell>
        </row>
        <row r="28">
          <cell r="C28">
            <v>0</v>
          </cell>
          <cell r="D28">
            <v>0</v>
          </cell>
        </row>
        <row r="30">
          <cell r="C30">
            <v>0</v>
          </cell>
          <cell r="D30">
            <v>0</v>
          </cell>
        </row>
        <row r="34">
          <cell r="C34">
            <v>0</v>
          </cell>
        </row>
        <row r="35">
          <cell r="C35">
            <v>1350.12</v>
          </cell>
          <cell r="D35">
            <v>1350.12</v>
          </cell>
        </row>
        <row r="40">
          <cell r="C40">
            <v>0</v>
          </cell>
          <cell r="D40">
            <v>0</v>
          </cell>
        </row>
        <row r="41">
          <cell r="C41">
            <v>15776376.33</v>
          </cell>
          <cell r="D41">
            <v>18382280.280000001</v>
          </cell>
        </row>
        <row r="46">
          <cell r="C46">
            <v>0</v>
          </cell>
        </row>
        <row r="48">
          <cell r="C48">
            <v>488548.94</v>
          </cell>
          <cell r="D48">
            <v>422306.74</v>
          </cell>
        </row>
        <row r="55">
          <cell r="C55">
            <v>1623675</v>
          </cell>
          <cell r="D55">
            <v>1623675</v>
          </cell>
          <cell r="F55">
            <v>1623675</v>
          </cell>
        </row>
        <row r="58">
          <cell r="C58">
            <v>953149176.46000004</v>
          </cell>
          <cell r="D58">
            <v>953149176.46000004</v>
          </cell>
        </row>
        <row r="59">
          <cell r="C59">
            <v>4551737.59</v>
          </cell>
          <cell r="D59">
            <v>4149647.32</v>
          </cell>
        </row>
        <row r="64">
          <cell r="C64">
            <v>55553258.920000002</v>
          </cell>
          <cell r="D64">
            <v>52883325.560000002</v>
          </cell>
          <cell r="F64">
            <v>45922302.979999997</v>
          </cell>
        </row>
        <row r="65">
          <cell r="C65">
            <v>11514419.15</v>
          </cell>
          <cell r="D65">
            <v>10179245.880000001</v>
          </cell>
        </row>
        <row r="68">
          <cell r="C68">
            <v>510150</v>
          </cell>
          <cell r="D68">
            <v>578847</v>
          </cell>
          <cell r="F68">
            <v>74900</v>
          </cell>
        </row>
        <row r="71">
          <cell r="C71">
            <v>6890064.9800000004</v>
          </cell>
          <cell r="D71">
            <v>5837722.9500000002</v>
          </cell>
        </row>
        <row r="74">
          <cell r="C74">
            <v>28796945.620000001</v>
          </cell>
          <cell r="D74">
            <v>24266945.620000001</v>
          </cell>
        </row>
        <row r="77">
          <cell r="C77">
            <v>932591.88</v>
          </cell>
        </row>
        <row r="95">
          <cell r="C95">
            <v>0</v>
          </cell>
          <cell r="D95">
            <v>0</v>
          </cell>
        </row>
        <row r="96">
          <cell r="C96">
            <v>0</v>
          </cell>
          <cell r="D96">
            <v>0</v>
          </cell>
        </row>
        <row r="97">
          <cell r="C97">
            <v>0</v>
          </cell>
          <cell r="D97">
            <v>0</v>
          </cell>
        </row>
        <row r="98">
          <cell r="C98">
            <v>11361</v>
          </cell>
          <cell r="D98">
            <v>0</v>
          </cell>
        </row>
        <row r="99">
          <cell r="C99">
            <v>0</v>
          </cell>
          <cell r="D99">
            <v>0</v>
          </cell>
        </row>
        <row r="100">
          <cell r="C100">
            <v>56304.6</v>
          </cell>
          <cell r="D100">
            <v>0</v>
          </cell>
        </row>
        <row r="101">
          <cell r="C101">
            <v>0</v>
          </cell>
          <cell r="D101">
            <v>0</v>
          </cell>
        </row>
        <row r="102">
          <cell r="C102">
            <v>71945.25</v>
          </cell>
          <cell r="D102">
            <v>0</v>
          </cell>
        </row>
        <row r="105">
          <cell r="C105">
            <v>0</v>
          </cell>
          <cell r="D105">
            <v>0</v>
          </cell>
        </row>
        <row r="106">
          <cell r="C106">
            <v>0</v>
          </cell>
          <cell r="D106">
            <v>0</v>
          </cell>
        </row>
        <row r="108">
          <cell r="C108">
            <v>8951565.0899999999</v>
          </cell>
          <cell r="D108">
            <v>13947066.369999999</v>
          </cell>
        </row>
        <row r="109">
          <cell r="C109">
            <v>0</v>
          </cell>
          <cell r="D109">
            <v>7106.65</v>
          </cell>
        </row>
        <row r="110">
          <cell r="C110">
            <v>0</v>
          </cell>
          <cell r="D110">
            <v>1436011.51</v>
          </cell>
        </row>
        <row r="115">
          <cell r="C115">
            <v>0</v>
          </cell>
          <cell r="D115">
            <v>252299.3</v>
          </cell>
        </row>
        <row r="116">
          <cell r="C116">
            <v>0</v>
          </cell>
          <cell r="D116">
            <v>0</v>
          </cell>
        </row>
        <row r="119">
          <cell r="C119">
            <v>0</v>
          </cell>
          <cell r="D119">
            <v>0</v>
          </cell>
        </row>
        <row r="128">
          <cell r="C128">
            <v>808793054.60000002</v>
          </cell>
          <cell r="D128">
            <v>808793054.60000002</v>
          </cell>
        </row>
        <row r="136">
          <cell r="C136">
            <v>186534488.11000001</v>
          </cell>
          <cell r="D136">
            <v>180976832.23999998</v>
          </cell>
        </row>
        <row r="149">
          <cell r="C149">
            <v>0</v>
          </cell>
        </row>
        <row r="153">
          <cell r="C153">
            <v>55995279</v>
          </cell>
        </row>
        <row r="154">
          <cell r="C154">
            <v>168117235.72999999</v>
          </cell>
        </row>
        <row r="155">
          <cell r="C155">
            <v>83096588.269999996</v>
          </cell>
        </row>
        <row r="162">
          <cell r="C162">
            <v>145255261.69</v>
          </cell>
          <cell r="D162">
            <v>147133178</v>
          </cell>
        </row>
        <row r="163">
          <cell r="C163">
            <v>80000</v>
          </cell>
        </row>
        <row r="164">
          <cell r="C164">
            <v>0</v>
          </cell>
          <cell r="D164">
            <v>0</v>
          </cell>
        </row>
        <row r="165">
          <cell r="C165">
            <v>0</v>
          </cell>
          <cell r="D165">
            <v>0</v>
          </cell>
        </row>
        <row r="166">
          <cell r="C166">
            <v>0</v>
          </cell>
          <cell r="D166">
            <v>0</v>
          </cell>
        </row>
        <row r="167">
          <cell r="C167">
            <v>830549.27</v>
          </cell>
        </row>
        <row r="168">
          <cell r="C168">
            <v>0</v>
          </cell>
          <cell r="D168">
            <v>0</v>
          </cell>
        </row>
        <row r="169">
          <cell r="C169">
            <v>0</v>
          </cell>
          <cell r="D169">
            <v>0</v>
          </cell>
        </row>
        <row r="170">
          <cell r="C170">
            <v>9068.99</v>
          </cell>
          <cell r="D170">
            <v>193520.16</v>
          </cell>
        </row>
        <row r="171">
          <cell r="C171">
            <v>258755.74</v>
          </cell>
        </row>
        <row r="172">
          <cell r="C172">
            <v>1266385</v>
          </cell>
          <cell r="D172">
            <v>1296420</v>
          </cell>
        </row>
        <row r="173">
          <cell r="C173">
            <v>6985599.21</v>
          </cell>
          <cell r="D173">
            <v>6765350</v>
          </cell>
        </row>
        <row r="174">
          <cell r="C174">
            <v>0</v>
          </cell>
          <cell r="D174">
            <v>0</v>
          </cell>
        </row>
        <row r="175">
          <cell r="C175">
            <v>9345204</v>
          </cell>
          <cell r="D175">
            <v>0</v>
          </cell>
        </row>
        <row r="176">
          <cell r="C176">
            <v>0</v>
          </cell>
          <cell r="D176">
            <v>0</v>
          </cell>
        </row>
        <row r="177">
          <cell r="C177">
            <v>0</v>
          </cell>
          <cell r="D177">
            <v>1715.66</v>
          </cell>
        </row>
        <row r="179">
          <cell r="C179">
            <v>0</v>
          </cell>
          <cell r="D179">
            <v>0</v>
          </cell>
        </row>
        <row r="180">
          <cell r="C180">
            <v>2365000</v>
          </cell>
          <cell r="D180">
            <v>2970000</v>
          </cell>
        </row>
        <row r="181">
          <cell r="C181">
            <v>0</v>
          </cell>
          <cell r="D181">
            <v>0</v>
          </cell>
        </row>
        <row r="182">
          <cell r="C182">
            <v>0</v>
          </cell>
          <cell r="D182">
            <v>0</v>
          </cell>
        </row>
        <row r="183">
          <cell r="C183">
            <v>0</v>
          </cell>
          <cell r="D183">
            <v>0</v>
          </cell>
        </row>
        <row r="185">
          <cell r="C185">
            <v>12070148.16</v>
          </cell>
          <cell r="D185">
            <v>12210081.5</v>
          </cell>
        </row>
        <row r="186">
          <cell r="C186">
            <v>0</v>
          </cell>
          <cell r="D186">
            <v>0</v>
          </cell>
        </row>
        <row r="187">
          <cell r="C187">
            <v>0</v>
          </cell>
          <cell r="D187">
            <v>0</v>
          </cell>
        </row>
        <row r="190">
          <cell r="C190">
            <v>10303960.34</v>
          </cell>
          <cell r="D190">
            <v>10463761.68</v>
          </cell>
        </row>
        <row r="191">
          <cell r="C191">
            <v>10318673.390000001</v>
          </cell>
          <cell r="D191">
            <v>9101205.8599999994</v>
          </cell>
        </row>
        <row r="192">
          <cell r="C192">
            <v>1728679.77</v>
          </cell>
          <cell r="D192">
            <v>3131774.53</v>
          </cell>
        </row>
        <row r="198">
          <cell r="C198">
            <v>0</v>
          </cell>
          <cell r="D198">
            <v>256900</v>
          </cell>
        </row>
        <row r="199">
          <cell r="C199">
            <v>0</v>
          </cell>
          <cell r="D199">
            <v>1490</v>
          </cell>
        </row>
        <row r="203">
          <cell r="C203">
            <v>1401846.63</v>
          </cell>
          <cell r="D203">
            <v>878000</v>
          </cell>
        </row>
        <row r="204">
          <cell r="C204">
            <v>1787361.81</v>
          </cell>
          <cell r="D204">
            <v>1745852.09</v>
          </cell>
        </row>
        <row r="205">
          <cell r="C205">
            <v>927194.72</v>
          </cell>
          <cell r="D205">
            <v>781748.96</v>
          </cell>
        </row>
        <row r="206">
          <cell r="C206">
            <v>0</v>
          </cell>
          <cell r="D206">
            <v>0</v>
          </cell>
        </row>
        <row r="207">
          <cell r="C207">
            <v>328909.98</v>
          </cell>
          <cell r="D207">
            <v>371176.6</v>
          </cell>
        </row>
        <row r="208">
          <cell r="C208">
            <v>72820992.290000007</v>
          </cell>
          <cell r="D208">
            <v>63713429.090000004</v>
          </cell>
        </row>
        <row r="209">
          <cell r="C209">
            <v>167000</v>
          </cell>
          <cell r="D209">
            <v>345465.68</v>
          </cell>
        </row>
        <row r="210">
          <cell r="C210">
            <v>0</v>
          </cell>
          <cell r="D210">
            <v>0</v>
          </cell>
        </row>
        <row r="211">
          <cell r="C211">
            <v>984627</v>
          </cell>
          <cell r="D211">
            <v>925630</v>
          </cell>
        </row>
        <row r="212">
          <cell r="C212">
            <v>1073392.55</v>
          </cell>
          <cell r="D212">
            <v>786671.76</v>
          </cell>
        </row>
        <row r="213">
          <cell r="C213">
            <v>0</v>
          </cell>
          <cell r="D213">
            <v>0</v>
          </cell>
        </row>
        <row r="214">
          <cell r="C214">
            <v>0</v>
          </cell>
          <cell r="D214">
            <v>0</v>
          </cell>
        </row>
        <row r="215">
          <cell r="C215">
            <v>0</v>
          </cell>
          <cell r="D215">
            <v>0</v>
          </cell>
        </row>
        <row r="216">
          <cell r="C216">
            <v>0</v>
          </cell>
          <cell r="D216">
            <v>175</v>
          </cell>
        </row>
        <row r="217">
          <cell r="C217">
            <v>0</v>
          </cell>
          <cell r="D217">
            <v>0</v>
          </cell>
        </row>
        <row r="219">
          <cell r="C219">
            <v>2252289.46</v>
          </cell>
          <cell r="D219">
            <v>1434034.5</v>
          </cell>
        </row>
        <row r="220">
          <cell r="C220">
            <v>333450</v>
          </cell>
          <cell r="D220">
            <v>62614.5</v>
          </cell>
        </row>
        <row r="221">
          <cell r="C221">
            <v>0</v>
          </cell>
          <cell r="D221">
            <v>0</v>
          </cell>
        </row>
        <row r="222">
          <cell r="C222">
            <v>290250</v>
          </cell>
          <cell r="D222">
            <v>292500</v>
          </cell>
        </row>
        <row r="223">
          <cell r="C223">
            <v>650000</v>
          </cell>
          <cell r="D223">
            <v>1192000</v>
          </cell>
        </row>
        <row r="224">
          <cell r="C224">
            <v>0</v>
          </cell>
          <cell r="D224">
            <v>0</v>
          </cell>
        </row>
        <row r="225">
          <cell r="C225">
            <v>0</v>
          </cell>
          <cell r="D225">
            <v>170699.58</v>
          </cell>
        </row>
        <row r="226">
          <cell r="C226">
            <v>611630.71</v>
          </cell>
          <cell r="D226">
            <v>521982.5</v>
          </cell>
        </row>
        <row r="227">
          <cell r="C227">
            <v>45048.24</v>
          </cell>
          <cell r="D227">
            <v>135144.72</v>
          </cell>
        </row>
        <row r="229">
          <cell r="C229">
            <v>0</v>
          </cell>
          <cell r="D229">
            <v>1494232.69</v>
          </cell>
        </row>
        <row r="230">
          <cell r="C230">
            <v>0</v>
          </cell>
          <cell r="D230">
            <v>5000</v>
          </cell>
        </row>
        <row r="231">
          <cell r="C231">
            <v>2856839.67</v>
          </cell>
          <cell r="D231">
            <v>6111175.2400000021</v>
          </cell>
        </row>
        <row r="232">
          <cell r="C232">
            <v>0</v>
          </cell>
          <cell r="D232">
            <v>0</v>
          </cell>
        </row>
        <row r="233">
          <cell r="C233">
            <v>0</v>
          </cell>
          <cell r="D233">
            <v>0</v>
          </cell>
        </row>
        <row r="234">
          <cell r="C234">
            <v>0</v>
          </cell>
          <cell r="D234">
            <v>278895.28999999998</v>
          </cell>
        </row>
        <row r="235">
          <cell r="C235">
            <v>0</v>
          </cell>
          <cell r="D235">
            <v>4162.24</v>
          </cell>
        </row>
        <row r="237">
          <cell r="C237">
            <v>0</v>
          </cell>
          <cell r="D237">
            <v>15500</v>
          </cell>
        </row>
        <row r="238">
          <cell r="C238">
            <v>0</v>
          </cell>
          <cell r="D238">
            <v>0</v>
          </cell>
        </row>
        <row r="239">
          <cell r="C239">
            <v>0</v>
          </cell>
          <cell r="D239">
            <v>0</v>
          </cell>
        </row>
        <row r="240">
          <cell r="C240">
            <v>2374661.02</v>
          </cell>
          <cell r="D240">
            <v>1920320.51</v>
          </cell>
        </row>
        <row r="241">
          <cell r="C241">
            <v>218728.81</v>
          </cell>
          <cell r="D241">
            <v>276000</v>
          </cell>
        </row>
        <row r="242">
          <cell r="C242">
            <v>7445</v>
          </cell>
          <cell r="D242">
            <v>9099.9</v>
          </cell>
        </row>
        <row r="243">
          <cell r="C243">
            <v>9589.5</v>
          </cell>
          <cell r="D243">
            <v>21105.87</v>
          </cell>
        </row>
        <row r="244">
          <cell r="C244">
            <v>0</v>
          </cell>
          <cell r="D244">
            <v>0</v>
          </cell>
        </row>
        <row r="246">
          <cell r="C246">
            <v>0</v>
          </cell>
          <cell r="D246">
            <v>0</v>
          </cell>
        </row>
        <row r="247">
          <cell r="C247">
            <v>105932.2</v>
          </cell>
          <cell r="D247">
            <v>140067.79</v>
          </cell>
        </row>
        <row r="248">
          <cell r="C248">
            <v>692897.94</v>
          </cell>
          <cell r="D248">
            <v>755694.55</v>
          </cell>
        </row>
        <row r="249">
          <cell r="C249">
            <v>0</v>
          </cell>
          <cell r="D249">
            <v>25915.84</v>
          </cell>
        </row>
        <row r="250">
          <cell r="C250">
            <v>0</v>
          </cell>
          <cell r="D250">
            <v>0</v>
          </cell>
        </row>
        <row r="251">
          <cell r="C251">
            <v>0</v>
          </cell>
          <cell r="D251">
            <v>223728.81</v>
          </cell>
        </row>
        <row r="252">
          <cell r="C252">
            <v>204000</v>
          </cell>
          <cell r="D252">
            <v>521700</v>
          </cell>
        </row>
        <row r="253">
          <cell r="C253">
            <v>6988501.3600000003</v>
          </cell>
          <cell r="D253">
            <v>5434192.7699999996</v>
          </cell>
        </row>
        <row r="254">
          <cell r="C254">
            <v>0</v>
          </cell>
          <cell r="D254">
            <v>0</v>
          </cell>
        </row>
        <row r="259">
          <cell r="C259">
            <v>816139.39</v>
          </cell>
          <cell r="D259">
            <v>563644.93000000005</v>
          </cell>
        </row>
        <row r="261">
          <cell r="C261">
            <v>521762.58</v>
          </cell>
          <cell r="D261">
            <v>282371.25</v>
          </cell>
        </row>
        <row r="262">
          <cell r="C262">
            <v>0</v>
          </cell>
          <cell r="D262">
            <v>0</v>
          </cell>
        </row>
        <row r="263">
          <cell r="C263">
            <v>636000</v>
          </cell>
          <cell r="D263">
            <v>0</v>
          </cell>
        </row>
        <row r="264">
          <cell r="C264">
            <v>0</v>
          </cell>
          <cell r="D264">
            <v>0</v>
          </cell>
        </row>
        <row r="265">
          <cell r="C265">
            <v>232991.34</v>
          </cell>
          <cell r="D265">
            <v>126382.55</v>
          </cell>
        </row>
        <row r="266">
          <cell r="C266">
            <v>8135.59</v>
          </cell>
          <cell r="D266">
            <v>0</v>
          </cell>
        </row>
        <row r="267">
          <cell r="C267">
            <v>0</v>
          </cell>
          <cell r="D267">
            <v>204450</v>
          </cell>
        </row>
        <row r="268">
          <cell r="C268">
            <v>141795</v>
          </cell>
          <cell r="D268">
            <v>149551</v>
          </cell>
        </row>
        <row r="270">
          <cell r="C270">
            <v>5867300</v>
          </cell>
          <cell r="D270">
            <v>5605300</v>
          </cell>
        </row>
        <row r="271">
          <cell r="C271">
            <v>3504000</v>
          </cell>
          <cell r="D271">
            <v>2730140</v>
          </cell>
        </row>
        <row r="272">
          <cell r="C272">
            <v>0</v>
          </cell>
          <cell r="D272">
            <v>0</v>
          </cell>
        </row>
        <row r="273">
          <cell r="C273">
            <v>0</v>
          </cell>
          <cell r="D273">
            <v>126124</v>
          </cell>
        </row>
        <row r="274">
          <cell r="C274">
            <v>4348474</v>
          </cell>
          <cell r="D274">
            <v>4185697.96</v>
          </cell>
        </row>
        <row r="275">
          <cell r="C275">
            <v>102860</v>
          </cell>
          <cell r="D275">
            <v>0</v>
          </cell>
        </row>
        <row r="276">
          <cell r="C276">
            <v>16435</v>
          </cell>
          <cell r="D276">
            <v>11690</v>
          </cell>
        </row>
        <row r="277">
          <cell r="C277">
            <v>0</v>
          </cell>
          <cell r="D277">
            <v>0</v>
          </cell>
        </row>
        <row r="279">
          <cell r="C279">
            <v>115813.57</v>
          </cell>
          <cell r="D279">
            <v>123855.43</v>
          </cell>
        </row>
        <row r="280">
          <cell r="C280">
            <v>50905.96</v>
          </cell>
          <cell r="D280">
            <v>132266.97</v>
          </cell>
        </row>
        <row r="281">
          <cell r="C281">
            <v>177874.1</v>
          </cell>
          <cell r="D281">
            <v>118304.28</v>
          </cell>
        </row>
        <row r="282">
          <cell r="C282">
            <v>10407.950000000001</v>
          </cell>
          <cell r="D282">
            <v>17311.330000000002</v>
          </cell>
        </row>
        <row r="283">
          <cell r="C283">
            <v>690042.9</v>
          </cell>
          <cell r="D283">
            <v>794673.14</v>
          </cell>
        </row>
        <row r="284">
          <cell r="C284">
            <v>4600</v>
          </cell>
          <cell r="D284">
            <v>576775</v>
          </cell>
        </row>
        <row r="285">
          <cell r="C285">
            <v>140746.18</v>
          </cell>
          <cell r="D285">
            <v>45794.83</v>
          </cell>
        </row>
        <row r="286">
          <cell r="C286">
            <v>120574.6</v>
          </cell>
          <cell r="D286">
            <v>0</v>
          </cell>
        </row>
        <row r="287">
          <cell r="C287">
            <v>4727717.84</v>
          </cell>
          <cell r="D287">
            <v>5692500</v>
          </cell>
        </row>
        <row r="288">
          <cell r="C288">
            <v>0</v>
          </cell>
          <cell r="D288">
            <v>0</v>
          </cell>
        </row>
        <row r="289">
          <cell r="C289">
            <v>9432</v>
          </cell>
          <cell r="D289">
            <v>30297.37</v>
          </cell>
        </row>
        <row r="290">
          <cell r="C290">
            <v>3529875.55</v>
          </cell>
          <cell r="D290">
            <v>2991364.47</v>
          </cell>
        </row>
        <row r="291">
          <cell r="C291">
            <v>0</v>
          </cell>
          <cell r="D291">
            <v>637636</v>
          </cell>
        </row>
        <row r="292">
          <cell r="C292">
            <v>0</v>
          </cell>
          <cell r="D292">
            <v>0</v>
          </cell>
        </row>
        <row r="293">
          <cell r="C293">
            <v>0</v>
          </cell>
          <cell r="D293">
            <v>0</v>
          </cell>
        </row>
        <row r="294">
          <cell r="C294">
            <v>14950</v>
          </cell>
          <cell r="D294">
            <v>377316.52</v>
          </cell>
        </row>
        <row r="295">
          <cell r="C295">
            <v>0</v>
          </cell>
          <cell r="D295">
            <v>0</v>
          </cell>
        </row>
        <row r="296">
          <cell r="C296">
            <v>0</v>
          </cell>
          <cell r="D296">
            <v>0</v>
          </cell>
        </row>
        <row r="297">
          <cell r="C297">
            <v>1427559.49</v>
          </cell>
          <cell r="D297">
            <v>20338.98</v>
          </cell>
        </row>
        <row r="298">
          <cell r="C298">
            <v>74376.17</v>
          </cell>
          <cell r="D298">
            <v>186061.85</v>
          </cell>
        </row>
        <row r="299">
          <cell r="C299">
            <v>0</v>
          </cell>
          <cell r="D299">
            <v>139400</v>
          </cell>
        </row>
        <row r="300">
          <cell r="C300">
            <v>43650</v>
          </cell>
          <cell r="D300">
            <v>8500</v>
          </cell>
        </row>
        <row r="302">
          <cell r="C302">
            <v>0</v>
          </cell>
          <cell r="D302">
            <v>0</v>
          </cell>
        </row>
        <row r="303">
          <cell r="C303">
            <v>86900</v>
          </cell>
          <cell r="D303">
            <v>160568.42000000001</v>
          </cell>
        </row>
        <row r="306">
          <cell r="C306">
            <v>1525455.69</v>
          </cell>
          <cell r="D306">
            <v>1193947.54</v>
          </cell>
        </row>
        <row r="307">
          <cell r="C307">
            <v>30000</v>
          </cell>
          <cell r="D307">
            <v>0</v>
          </cell>
        </row>
        <row r="308">
          <cell r="D308">
            <v>0</v>
          </cell>
        </row>
      </sheetData>
      <sheetData sheetId="9"/>
      <sheetData sheetId="10">
        <row r="289">
          <cell r="E289">
            <v>80270768.269999996</v>
          </cell>
        </row>
        <row r="290">
          <cell r="E290">
            <v>46286520</v>
          </cell>
        </row>
        <row r="291">
          <cell r="E291">
            <v>168117235.72999999</v>
          </cell>
        </row>
        <row r="295">
          <cell r="E295">
            <v>240000000</v>
          </cell>
        </row>
      </sheetData>
      <sheetData sheetId="11"/>
      <sheetData sheetId="12">
        <row r="609">
          <cell r="C609">
            <v>656678.94999999995</v>
          </cell>
          <cell r="D609">
            <v>657127.22</v>
          </cell>
        </row>
      </sheetData>
      <sheetData sheetId="13">
        <row r="14">
          <cell r="K14">
            <v>57143407.930000007</v>
          </cell>
        </row>
        <row r="28">
          <cell r="E28">
            <v>270856525.61000001</v>
          </cell>
          <cell r="F28">
            <v>26935891.919999998</v>
          </cell>
          <cell r="H28">
            <v>11856936.66</v>
          </cell>
          <cell r="I28">
            <v>38206151.979999997</v>
          </cell>
        </row>
        <row r="29">
          <cell r="E29">
            <v>38952343.180000007</v>
          </cell>
          <cell r="F29">
            <v>1558222.4900000026</v>
          </cell>
          <cell r="G29">
            <v>8264.6600000000035</v>
          </cell>
          <cell r="H29">
            <v>650544.72999999905</v>
          </cell>
          <cell r="I29">
            <v>5273734.3300000057</v>
          </cell>
          <cell r="K29">
            <v>46443109.390000008</v>
          </cell>
        </row>
      </sheetData>
      <sheetData sheetId="14"/>
      <sheetData sheetId="15">
        <row r="11">
          <cell r="B11">
            <v>422773433.54999995</v>
          </cell>
        </row>
        <row r="12">
          <cell r="B12">
            <v>0</v>
          </cell>
        </row>
        <row r="15">
          <cell r="B15">
            <v>15776376.33</v>
          </cell>
        </row>
        <row r="16">
          <cell r="B16">
            <v>488548.94</v>
          </cell>
        </row>
        <row r="17">
          <cell r="B17">
            <v>0</v>
          </cell>
          <cell r="C17">
            <v>193172</v>
          </cell>
        </row>
        <row r="36">
          <cell r="B36">
            <v>139610.85</v>
          </cell>
        </row>
        <row r="60">
          <cell r="B60">
            <v>1208456281.95</v>
          </cell>
          <cell r="C60">
            <v>1086596554.24</v>
          </cell>
        </row>
      </sheetData>
      <sheetData sheetId="16">
        <row r="11">
          <cell r="B11">
            <v>186534488.11000001</v>
          </cell>
        </row>
        <row r="12">
          <cell r="B12">
            <v>307209103</v>
          </cell>
          <cell r="C12">
            <v>229174633.03999999</v>
          </cell>
        </row>
        <row r="13">
          <cell r="B13">
            <v>0</v>
          </cell>
        </row>
        <row r="17">
          <cell r="B17">
            <v>202342741.25000003</v>
          </cell>
        </row>
        <row r="18">
          <cell r="B18">
            <v>30000</v>
          </cell>
        </row>
        <row r="19">
          <cell r="B19">
            <v>27553148.020000003</v>
          </cell>
        </row>
        <row r="20">
          <cell r="B20">
            <v>46530009.390000008</v>
          </cell>
          <cell r="C20">
            <v>57303976.350000009</v>
          </cell>
        </row>
        <row r="22">
          <cell r="B22">
            <v>96220962.140000001</v>
          </cell>
        </row>
        <row r="23">
          <cell r="B23">
            <v>692897.94</v>
          </cell>
        </row>
        <row r="30">
          <cell r="C30">
            <v>41656479.659999967</v>
          </cell>
        </row>
        <row r="35">
          <cell r="B35">
            <v>120373832.37</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row r="10">
          <cell r="E10">
            <v>229174633.03999999</v>
          </cell>
        </row>
      </sheetData>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5">
          <cell r="D25">
            <v>3993167</v>
          </cell>
          <cell r="E25">
            <v>3993167</v>
          </cell>
          <cell r="F25">
            <v>3993167</v>
          </cell>
          <cell r="G25">
            <v>3993167</v>
          </cell>
          <cell r="H25">
            <v>3993167</v>
          </cell>
          <cell r="I25">
            <v>3993167</v>
          </cell>
          <cell r="J25">
            <v>3993167</v>
          </cell>
          <cell r="K25">
            <v>3993167</v>
          </cell>
          <cell r="L25">
            <v>3993167</v>
          </cell>
          <cell r="M25">
            <v>3993167</v>
          </cell>
          <cell r="N25">
            <v>3993167</v>
          </cell>
          <cell r="O25">
            <v>12070442</v>
          </cell>
        </row>
        <row r="26">
          <cell r="D26">
            <v>0</v>
          </cell>
          <cell r="E26">
            <v>8372500</v>
          </cell>
          <cell r="F26">
            <v>0</v>
          </cell>
          <cell r="G26">
            <v>25117500</v>
          </cell>
          <cell r="H26">
            <v>8372500</v>
          </cell>
          <cell r="I26">
            <v>8372500</v>
          </cell>
          <cell r="J26">
            <v>8372500</v>
          </cell>
          <cell r="K26">
            <v>8372500</v>
          </cell>
          <cell r="L26">
            <v>8372500</v>
          </cell>
          <cell r="M26">
            <v>0</v>
          </cell>
          <cell r="N26">
            <v>16745000</v>
          </cell>
          <cell r="O26">
            <v>76019735.730000004</v>
          </cell>
        </row>
        <row r="27">
          <cell r="D27">
            <v>4628652</v>
          </cell>
          <cell r="E27">
            <v>4628652</v>
          </cell>
          <cell r="F27">
            <v>4628652</v>
          </cell>
          <cell r="G27">
            <v>4628652</v>
          </cell>
          <cell r="H27">
            <v>4628652</v>
          </cell>
          <cell r="I27">
            <v>4628652</v>
          </cell>
          <cell r="J27">
            <v>4628652</v>
          </cell>
          <cell r="K27">
            <v>4628652</v>
          </cell>
          <cell r="L27">
            <v>4628652</v>
          </cell>
          <cell r="M27">
            <v>4628652</v>
          </cell>
          <cell r="N27">
            <v>4628652</v>
          </cell>
          <cell r="O27">
            <v>32181416.27</v>
          </cell>
        </row>
      </sheetData>
      <sheetData sheetId="57"/>
      <sheetData sheetId="58"/>
      <sheetData sheetId="59"/>
      <sheetData sheetId="60"/>
      <sheetData sheetId="61"/>
      <sheetData sheetId="62"/>
      <sheetData sheetId="63"/>
      <sheetData sheetId="64"/>
      <sheetData sheetId="65"/>
      <sheetData sheetId="66"/>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L548"/>
  <sheetViews>
    <sheetView tabSelected="1" workbookViewId="0">
      <selection activeCell="L29" sqref="L29"/>
    </sheetView>
  </sheetViews>
  <sheetFormatPr baseColWidth="10" defaultColWidth="11.42578125" defaultRowHeight="15" customHeight="1" x14ac:dyDescent="0.25"/>
  <cols>
    <col min="1" max="3" width="11.42578125" style="262"/>
    <col min="4" max="4" width="41.28515625" style="262" customWidth="1"/>
    <col min="5" max="5" width="5.5703125" style="262" customWidth="1"/>
    <col min="6" max="6" width="10.7109375" style="275" customWidth="1"/>
    <col min="7" max="7" width="0.28515625" style="275" hidden="1" customWidth="1"/>
    <col min="8" max="8" width="15.28515625" style="262" customWidth="1"/>
    <col min="9" max="16384" width="11.42578125" style="262"/>
  </cols>
  <sheetData>
    <row r="2" spans="1:12" ht="15" customHeight="1" x14ac:dyDescent="0.25">
      <c r="D2" s="273" t="s">
        <v>448</v>
      </c>
      <c r="F2" s="274"/>
    </row>
    <row r="5" spans="1:12" ht="15" customHeight="1" x14ac:dyDescent="0.25">
      <c r="B5" s="276" t="s">
        <v>449</v>
      </c>
      <c r="C5" s="276" t="s">
        <v>450</v>
      </c>
      <c r="D5" s="276" t="s">
        <v>451</v>
      </c>
      <c r="E5" s="276"/>
      <c r="F5" s="277" t="s">
        <v>452</v>
      </c>
      <c r="H5" s="277" t="s">
        <v>213</v>
      </c>
      <c r="J5" s="262" t="s">
        <v>453</v>
      </c>
    </row>
    <row r="6" spans="1:12" ht="15" customHeight="1" x14ac:dyDescent="0.25">
      <c r="B6" s="276"/>
      <c r="C6" s="276"/>
      <c r="D6" s="276"/>
      <c r="E6" s="276"/>
      <c r="F6" s="277"/>
      <c r="G6" s="277"/>
    </row>
    <row r="7" spans="1:12" ht="15" customHeight="1" x14ac:dyDescent="0.25">
      <c r="A7" s="262">
        <v>1</v>
      </c>
      <c r="B7" s="278" t="s">
        <v>454</v>
      </c>
      <c r="C7" s="278" t="s">
        <v>455</v>
      </c>
      <c r="D7" s="278" t="s">
        <v>456</v>
      </c>
      <c r="E7" s="278" t="s">
        <v>457</v>
      </c>
      <c r="F7" s="279">
        <v>1701</v>
      </c>
      <c r="G7" s="279">
        <v>6302.55</v>
      </c>
      <c r="H7" s="280">
        <f t="shared" ref="H7:H70" si="0">G7/1.18</f>
        <v>5341.1440677966102</v>
      </c>
      <c r="J7" s="262" t="s">
        <v>453</v>
      </c>
      <c r="L7" s="262" t="s">
        <v>453</v>
      </c>
    </row>
    <row r="8" spans="1:12" ht="15" customHeight="1" x14ac:dyDescent="0.25">
      <c r="A8" s="262">
        <v>3</v>
      </c>
      <c r="B8" s="278" t="s">
        <v>458</v>
      </c>
      <c r="C8" s="278" t="s">
        <v>459</v>
      </c>
      <c r="D8" s="278" t="s">
        <v>460</v>
      </c>
      <c r="E8" s="278" t="s">
        <v>461</v>
      </c>
      <c r="F8" s="279">
        <v>2498</v>
      </c>
      <c r="G8" s="279">
        <v>12674.85</v>
      </c>
      <c r="H8" s="280">
        <f t="shared" si="0"/>
        <v>10741.398305084747</v>
      </c>
      <c r="K8" s="262" t="s">
        <v>453</v>
      </c>
    </row>
    <row r="9" spans="1:12" ht="15" customHeight="1" x14ac:dyDescent="0.25">
      <c r="A9" s="262">
        <v>5</v>
      </c>
      <c r="B9" s="278" t="s">
        <v>462</v>
      </c>
      <c r="C9" s="278" t="s">
        <v>463</v>
      </c>
      <c r="D9" s="278" t="s">
        <v>464</v>
      </c>
      <c r="E9" s="278" t="s">
        <v>461</v>
      </c>
      <c r="F9" s="279">
        <v>133</v>
      </c>
      <c r="G9" s="279">
        <v>1330</v>
      </c>
      <c r="H9" s="280">
        <f t="shared" si="0"/>
        <v>1127.1186440677966</v>
      </c>
    </row>
    <row r="10" spans="1:12" ht="15" customHeight="1" x14ac:dyDescent="0.25">
      <c r="A10" s="262">
        <v>7</v>
      </c>
      <c r="B10" s="278" t="s">
        <v>465</v>
      </c>
      <c r="C10" s="278" t="s">
        <v>466</v>
      </c>
      <c r="D10" s="278" t="s">
        <v>467</v>
      </c>
      <c r="E10" s="278" t="s">
        <v>461</v>
      </c>
      <c r="F10" s="279">
        <v>159</v>
      </c>
      <c r="G10" s="279">
        <v>3180</v>
      </c>
      <c r="H10" s="280">
        <f t="shared" si="0"/>
        <v>2694.9152542372881</v>
      </c>
    </row>
    <row r="11" spans="1:12" ht="15" customHeight="1" x14ac:dyDescent="0.25">
      <c r="A11" s="262">
        <v>9</v>
      </c>
      <c r="B11" s="278" t="s">
        <v>468</v>
      </c>
      <c r="C11" s="278" t="s">
        <v>469</v>
      </c>
      <c r="D11" s="278" t="s">
        <v>470</v>
      </c>
      <c r="E11" s="278" t="s">
        <v>461</v>
      </c>
      <c r="F11" s="279">
        <v>118</v>
      </c>
      <c r="G11" s="279">
        <v>7670</v>
      </c>
      <c r="H11" s="280">
        <f t="shared" si="0"/>
        <v>6500</v>
      </c>
    </row>
    <row r="12" spans="1:12" ht="15" customHeight="1" x14ac:dyDescent="0.25">
      <c r="A12" s="262">
        <v>11</v>
      </c>
      <c r="B12" s="278" t="s">
        <v>471</v>
      </c>
      <c r="C12" s="278" t="s">
        <v>472</v>
      </c>
      <c r="D12" s="278" t="s">
        <v>473</v>
      </c>
      <c r="E12" s="278" t="s">
        <v>461</v>
      </c>
      <c r="F12" s="279">
        <v>1998</v>
      </c>
      <c r="G12" s="279">
        <v>7662.33</v>
      </c>
      <c r="H12" s="280">
        <f t="shared" si="0"/>
        <v>6493.5</v>
      </c>
    </row>
    <row r="13" spans="1:12" ht="15" customHeight="1" x14ac:dyDescent="0.25">
      <c r="A13" s="262">
        <v>13</v>
      </c>
      <c r="B13" s="278" t="s">
        <v>474</v>
      </c>
      <c r="C13" s="278" t="s">
        <v>475</v>
      </c>
      <c r="D13" s="278" t="s">
        <v>476</v>
      </c>
      <c r="E13" s="278" t="s">
        <v>461</v>
      </c>
      <c r="F13" s="279">
        <v>898</v>
      </c>
      <c r="G13" s="279">
        <v>4673.01</v>
      </c>
      <c r="H13" s="280">
        <f t="shared" si="0"/>
        <v>3960.1779661016953</v>
      </c>
    </row>
    <row r="14" spans="1:12" ht="15" customHeight="1" x14ac:dyDescent="0.25">
      <c r="A14" s="262">
        <v>15</v>
      </c>
      <c r="B14" s="278" t="s">
        <v>477</v>
      </c>
      <c r="C14" s="278" t="s">
        <v>478</v>
      </c>
      <c r="D14" s="278" t="s">
        <v>479</v>
      </c>
      <c r="E14" s="278" t="s">
        <v>461</v>
      </c>
      <c r="F14" s="279">
        <v>73</v>
      </c>
      <c r="G14" s="279">
        <v>1341.01</v>
      </c>
      <c r="H14" s="280">
        <f t="shared" si="0"/>
        <v>1136.449152542373</v>
      </c>
    </row>
    <row r="15" spans="1:12" ht="15" customHeight="1" x14ac:dyDescent="0.25">
      <c r="A15" s="262">
        <v>17</v>
      </c>
      <c r="B15" s="278" t="s">
        <v>480</v>
      </c>
      <c r="C15" s="278" t="s">
        <v>481</v>
      </c>
      <c r="D15" s="278" t="s">
        <v>482</v>
      </c>
      <c r="E15" s="278" t="s">
        <v>461</v>
      </c>
      <c r="F15" s="279">
        <v>1810</v>
      </c>
      <c r="G15" s="279">
        <v>9226.66</v>
      </c>
      <c r="H15" s="280">
        <f t="shared" si="0"/>
        <v>7819.203389830509</v>
      </c>
    </row>
    <row r="16" spans="1:12" ht="15" customHeight="1" x14ac:dyDescent="0.25">
      <c r="A16" s="262">
        <v>19</v>
      </c>
      <c r="B16" s="278" t="s">
        <v>483</v>
      </c>
      <c r="C16" s="278" t="s">
        <v>484</v>
      </c>
      <c r="D16" s="278" t="s">
        <v>485</v>
      </c>
      <c r="E16" s="278" t="s">
        <v>461</v>
      </c>
      <c r="F16" s="279">
        <v>1548</v>
      </c>
      <c r="G16" s="279">
        <v>9462</v>
      </c>
      <c r="H16" s="280">
        <f t="shared" si="0"/>
        <v>8018.6440677966102</v>
      </c>
    </row>
    <row r="17" spans="1:8" ht="15" customHeight="1" x14ac:dyDescent="0.25">
      <c r="A17" s="262">
        <v>21</v>
      </c>
      <c r="B17" s="278" t="s">
        <v>486</v>
      </c>
      <c r="C17" s="278" t="s">
        <v>487</v>
      </c>
      <c r="D17" s="278" t="s">
        <v>488</v>
      </c>
      <c r="E17" s="278" t="s">
        <v>461</v>
      </c>
      <c r="F17" s="279">
        <v>99</v>
      </c>
      <c r="G17" s="279">
        <v>1683</v>
      </c>
      <c r="H17" s="280">
        <f t="shared" si="0"/>
        <v>1426.2711864406781</v>
      </c>
    </row>
    <row r="18" spans="1:8" ht="15" customHeight="1" x14ac:dyDescent="0.25">
      <c r="A18" s="262">
        <v>23</v>
      </c>
      <c r="B18" s="278" t="s">
        <v>489</v>
      </c>
      <c r="C18" s="278" t="s">
        <v>490</v>
      </c>
      <c r="D18" s="278" t="s">
        <v>491</v>
      </c>
      <c r="E18" s="278" t="s">
        <v>461</v>
      </c>
      <c r="F18" s="279">
        <v>91</v>
      </c>
      <c r="G18" s="279">
        <v>3821.09</v>
      </c>
      <c r="H18" s="280">
        <f t="shared" si="0"/>
        <v>3238.21186440678</v>
      </c>
    </row>
    <row r="19" spans="1:8" ht="15" customHeight="1" x14ac:dyDescent="0.25">
      <c r="A19" s="262">
        <v>25</v>
      </c>
      <c r="B19" s="278" t="s">
        <v>492</v>
      </c>
      <c r="C19" s="278" t="s">
        <v>493</v>
      </c>
      <c r="D19" s="278" t="s">
        <v>494</v>
      </c>
      <c r="E19" s="278" t="s">
        <v>461</v>
      </c>
      <c r="F19" s="279">
        <v>20</v>
      </c>
      <c r="G19" s="279">
        <v>1159.8</v>
      </c>
      <c r="H19" s="280">
        <f t="shared" si="0"/>
        <v>982.88135593220341</v>
      </c>
    </row>
    <row r="20" spans="1:8" ht="15" customHeight="1" x14ac:dyDescent="0.25">
      <c r="A20" s="262">
        <v>27</v>
      </c>
      <c r="B20" s="278" t="s">
        <v>495</v>
      </c>
      <c r="C20" s="278" t="s">
        <v>496</v>
      </c>
      <c r="D20" s="278" t="s">
        <v>497</v>
      </c>
      <c r="E20" s="278" t="s">
        <v>461</v>
      </c>
      <c r="F20" s="279">
        <v>84</v>
      </c>
      <c r="G20" s="279">
        <v>23292.36</v>
      </c>
      <c r="H20" s="280">
        <f t="shared" si="0"/>
        <v>19739.288135593222</v>
      </c>
    </row>
    <row r="21" spans="1:8" ht="15" customHeight="1" x14ac:dyDescent="0.25">
      <c r="A21" s="262">
        <v>29</v>
      </c>
      <c r="B21" s="278" t="s">
        <v>498</v>
      </c>
      <c r="C21" s="278" t="s">
        <v>499</v>
      </c>
      <c r="D21" s="278" t="s">
        <v>500</v>
      </c>
      <c r="E21" s="278" t="s">
        <v>461</v>
      </c>
      <c r="F21" s="279">
        <v>1701</v>
      </c>
      <c r="G21" s="279">
        <v>8505</v>
      </c>
      <c r="H21" s="280">
        <f t="shared" si="0"/>
        <v>7207.6271186440681</v>
      </c>
    </row>
    <row r="22" spans="1:8" ht="15" customHeight="1" x14ac:dyDescent="0.25">
      <c r="A22" s="262">
        <v>31</v>
      </c>
      <c r="B22" s="278" t="s">
        <v>501</v>
      </c>
      <c r="C22" s="278" t="s">
        <v>502</v>
      </c>
      <c r="D22" s="278" t="s">
        <v>503</v>
      </c>
      <c r="E22" s="278" t="s">
        <v>461</v>
      </c>
      <c r="F22" s="279">
        <v>20</v>
      </c>
      <c r="G22" s="279">
        <v>139.80000000000001</v>
      </c>
      <c r="H22" s="280">
        <f t="shared" si="0"/>
        <v>118.47457627118645</v>
      </c>
    </row>
    <row r="23" spans="1:8" ht="15" customHeight="1" x14ac:dyDescent="0.25">
      <c r="A23" s="262">
        <v>33</v>
      </c>
      <c r="B23" s="278" t="s">
        <v>504</v>
      </c>
      <c r="C23" s="278" t="s">
        <v>505</v>
      </c>
      <c r="D23" s="278" t="s">
        <v>506</v>
      </c>
      <c r="E23" s="278" t="s">
        <v>461</v>
      </c>
      <c r="F23" s="279">
        <v>1074</v>
      </c>
      <c r="G23" s="279">
        <v>7518</v>
      </c>
      <c r="H23" s="280">
        <f t="shared" si="0"/>
        <v>6371.1864406779669</v>
      </c>
    </row>
    <row r="24" spans="1:8" ht="15" customHeight="1" x14ac:dyDescent="0.25">
      <c r="A24" s="262">
        <v>35</v>
      </c>
      <c r="B24" s="278" t="s">
        <v>507</v>
      </c>
      <c r="C24" s="278" t="s">
        <v>508</v>
      </c>
      <c r="D24" s="278" t="s">
        <v>509</v>
      </c>
      <c r="E24" s="278" t="s">
        <v>461</v>
      </c>
      <c r="F24" s="279">
        <v>277</v>
      </c>
      <c r="G24" s="279">
        <v>2216</v>
      </c>
      <c r="H24" s="280">
        <f t="shared" si="0"/>
        <v>1877.9661016949153</v>
      </c>
    </row>
    <row r="25" spans="1:8" ht="15" customHeight="1" x14ac:dyDescent="0.25">
      <c r="A25" s="262">
        <v>37</v>
      </c>
      <c r="B25" s="278" t="s">
        <v>510</v>
      </c>
      <c r="C25" s="278" t="s">
        <v>511</v>
      </c>
      <c r="D25" s="278" t="s">
        <v>512</v>
      </c>
      <c r="E25" s="278" t="s">
        <v>461</v>
      </c>
      <c r="F25" s="279">
        <v>403</v>
      </c>
      <c r="G25" s="279">
        <v>16382.35</v>
      </c>
      <c r="H25" s="280">
        <f t="shared" si="0"/>
        <v>13883.34745762712</v>
      </c>
    </row>
    <row r="26" spans="1:8" ht="15" customHeight="1" x14ac:dyDescent="0.25">
      <c r="A26" s="262">
        <v>39</v>
      </c>
      <c r="B26" s="278" t="s">
        <v>513</v>
      </c>
      <c r="C26" s="278" t="s">
        <v>514</v>
      </c>
      <c r="D26" s="278" t="s">
        <v>515</v>
      </c>
      <c r="E26" s="278" t="s">
        <v>461</v>
      </c>
      <c r="F26" s="279">
        <v>181</v>
      </c>
      <c r="G26" s="279">
        <v>9632.4599999999991</v>
      </c>
      <c r="H26" s="280">
        <f t="shared" si="0"/>
        <v>8163.1016949152536</v>
      </c>
    </row>
    <row r="27" spans="1:8" ht="15" customHeight="1" x14ac:dyDescent="0.25">
      <c r="A27" s="262">
        <v>41</v>
      </c>
      <c r="B27" s="278" t="s">
        <v>516</v>
      </c>
      <c r="C27" s="278" t="s">
        <v>517</v>
      </c>
      <c r="D27" s="278" t="s">
        <v>518</v>
      </c>
      <c r="E27" s="278" t="s">
        <v>461</v>
      </c>
      <c r="F27" s="279">
        <v>113</v>
      </c>
      <c r="G27" s="279">
        <v>24860.02</v>
      </c>
      <c r="H27" s="280">
        <f t="shared" si="0"/>
        <v>21067.813559322036</v>
      </c>
    </row>
    <row r="28" spans="1:8" ht="15" customHeight="1" x14ac:dyDescent="0.25">
      <c r="A28" s="262">
        <v>43</v>
      </c>
      <c r="B28" s="278" t="s">
        <v>519</v>
      </c>
      <c r="C28" s="278" t="s">
        <v>520</v>
      </c>
      <c r="D28" s="278" t="s">
        <v>521</v>
      </c>
      <c r="E28" s="278" t="s">
        <v>461</v>
      </c>
      <c r="F28" s="279">
        <v>647</v>
      </c>
      <c r="G28" s="279">
        <v>29115.01</v>
      </c>
      <c r="H28" s="280">
        <f t="shared" si="0"/>
        <v>24673.737288135591</v>
      </c>
    </row>
    <row r="29" spans="1:8" ht="15" customHeight="1" x14ac:dyDescent="0.25">
      <c r="A29" s="262">
        <v>45</v>
      </c>
      <c r="B29" s="278" t="s">
        <v>522</v>
      </c>
      <c r="C29" s="278" t="s">
        <v>523</v>
      </c>
      <c r="D29" s="278" t="s">
        <v>524</v>
      </c>
      <c r="E29" s="278" t="s">
        <v>461</v>
      </c>
      <c r="F29" s="279">
        <v>32</v>
      </c>
      <c r="G29" s="279">
        <v>2432</v>
      </c>
      <c r="H29" s="280">
        <f t="shared" si="0"/>
        <v>2061.0169491525426</v>
      </c>
    </row>
    <row r="30" spans="1:8" ht="15" customHeight="1" x14ac:dyDescent="0.25">
      <c r="A30" s="262">
        <v>47</v>
      </c>
      <c r="B30" s="278" t="s">
        <v>525</v>
      </c>
      <c r="C30" s="278" t="s">
        <v>526</v>
      </c>
      <c r="D30" s="278" t="s">
        <v>527</v>
      </c>
      <c r="E30" s="278" t="s">
        <v>461</v>
      </c>
      <c r="F30" s="279">
        <v>197</v>
      </c>
      <c r="G30" s="279">
        <v>19700.009999999998</v>
      </c>
      <c r="H30" s="280">
        <f t="shared" si="0"/>
        <v>16694.923728813559</v>
      </c>
    </row>
    <row r="31" spans="1:8" ht="15" customHeight="1" x14ac:dyDescent="0.25">
      <c r="A31" s="262">
        <v>49</v>
      </c>
      <c r="B31" s="278" t="s">
        <v>528</v>
      </c>
      <c r="C31" s="278" t="s">
        <v>529</v>
      </c>
      <c r="D31" s="278" t="s">
        <v>530</v>
      </c>
      <c r="E31" s="278" t="s">
        <v>461</v>
      </c>
      <c r="F31" s="279">
        <v>746</v>
      </c>
      <c r="G31" s="279">
        <v>2790.49</v>
      </c>
      <c r="H31" s="280">
        <f t="shared" si="0"/>
        <v>2364.8220338983051</v>
      </c>
    </row>
    <row r="32" spans="1:8" ht="15" customHeight="1" x14ac:dyDescent="0.25">
      <c r="A32" s="262">
        <v>51</v>
      </c>
      <c r="B32" s="278" t="s">
        <v>531</v>
      </c>
      <c r="C32" s="278" t="s">
        <v>532</v>
      </c>
      <c r="D32" s="278" t="s">
        <v>533</v>
      </c>
      <c r="E32" s="278" t="s">
        <v>461</v>
      </c>
      <c r="F32" s="279">
        <v>39</v>
      </c>
      <c r="G32" s="279">
        <v>528.84</v>
      </c>
      <c r="H32" s="280">
        <f t="shared" si="0"/>
        <v>448.16949152542378</v>
      </c>
    </row>
    <row r="33" spans="1:8" ht="15" customHeight="1" x14ac:dyDescent="0.25">
      <c r="A33" s="262">
        <v>53</v>
      </c>
      <c r="B33" s="278" t="s">
        <v>534</v>
      </c>
      <c r="C33" s="278" t="s">
        <v>535</v>
      </c>
      <c r="D33" s="278" t="s">
        <v>536</v>
      </c>
      <c r="E33" s="278" t="s">
        <v>461</v>
      </c>
      <c r="F33" s="279">
        <v>582</v>
      </c>
      <c r="G33" s="279">
        <v>85158.24</v>
      </c>
      <c r="H33" s="280">
        <f t="shared" si="0"/>
        <v>72168.000000000015</v>
      </c>
    </row>
    <row r="34" spans="1:8" ht="15" customHeight="1" x14ac:dyDescent="0.25">
      <c r="A34" s="262">
        <v>55</v>
      </c>
      <c r="B34" s="278" t="s">
        <v>537</v>
      </c>
      <c r="C34" s="278" t="s">
        <v>538</v>
      </c>
      <c r="D34" s="278" t="s">
        <v>539</v>
      </c>
      <c r="E34" s="278" t="s">
        <v>461</v>
      </c>
      <c r="F34" s="279">
        <v>733</v>
      </c>
      <c r="G34" s="279">
        <v>140985.22</v>
      </c>
      <c r="H34" s="280">
        <f t="shared" si="0"/>
        <v>119479.00000000001</v>
      </c>
    </row>
    <row r="35" spans="1:8" ht="15" customHeight="1" x14ac:dyDescent="0.25">
      <c r="A35" s="262">
        <v>57</v>
      </c>
      <c r="B35" s="278" t="s">
        <v>540</v>
      </c>
      <c r="C35" s="278" t="s">
        <v>541</v>
      </c>
      <c r="D35" s="278" t="s">
        <v>542</v>
      </c>
      <c r="E35" s="278" t="s">
        <v>461</v>
      </c>
      <c r="F35" s="279">
        <v>97</v>
      </c>
      <c r="G35" s="279">
        <v>26783.64</v>
      </c>
      <c r="H35" s="280">
        <f t="shared" si="0"/>
        <v>22698</v>
      </c>
    </row>
    <row r="36" spans="1:8" ht="15" customHeight="1" x14ac:dyDescent="0.25">
      <c r="A36" s="262">
        <v>59</v>
      </c>
      <c r="B36" s="278" t="s">
        <v>543</v>
      </c>
      <c r="C36" s="278" t="s">
        <v>544</v>
      </c>
      <c r="D36" s="278" t="s">
        <v>545</v>
      </c>
      <c r="E36" s="278" t="s">
        <v>461</v>
      </c>
      <c r="F36" s="279">
        <v>85</v>
      </c>
      <c r="G36" s="279">
        <v>40019.699999999997</v>
      </c>
      <c r="H36" s="280">
        <f t="shared" si="0"/>
        <v>33915</v>
      </c>
    </row>
    <row r="37" spans="1:8" ht="15" customHeight="1" x14ac:dyDescent="0.25">
      <c r="A37" s="262">
        <v>61</v>
      </c>
      <c r="B37" s="278" t="s">
        <v>546</v>
      </c>
      <c r="C37" s="278" t="s">
        <v>547</v>
      </c>
      <c r="D37" s="278" t="s">
        <v>548</v>
      </c>
      <c r="E37" s="278" t="s">
        <v>461</v>
      </c>
      <c r="F37" s="279">
        <v>402</v>
      </c>
      <c r="G37" s="279">
        <v>250462.07999999999</v>
      </c>
      <c r="H37" s="280">
        <f t="shared" si="0"/>
        <v>212256</v>
      </c>
    </row>
    <row r="38" spans="1:8" ht="15" customHeight="1" x14ac:dyDescent="0.25">
      <c r="A38" s="262">
        <v>63</v>
      </c>
      <c r="B38" s="278" t="s">
        <v>549</v>
      </c>
      <c r="C38" s="278" t="s">
        <v>550</v>
      </c>
      <c r="D38" s="278" t="s">
        <v>551</v>
      </c>
      <c r="E38" s="278" t="s">
        <v>461</v>
      </c>
      <c r="F38" s="279">
        <v>13</v>
      </c>
      <c r="G38" s="279">
        <v>17027.400000000001</v>
      </c>
      <c r="H38" s="280">
        <f t="shared" si="0"/>
        <v>14430.000000000002</v>
      </c>
    </row>
    <row r="39" spans="1:8" ht="15" customHeight="1" x14ac:dyDescent="0.25">
      <c r="A39" s="262">
        <v>65</v>
      </c>
      <c r="B39" s="278" t="s">
        <v>552</v>
      </c>
      <c r="C39" s="278" t="s">
        <v>553</v>
      </c>
      <c r="D39" s="278" t="s">
        <v>554</v>
      </c>
      <c r="E39" s="278" t="s">
        <v>461</v>
      </c>
      <c r="F39" s="279">
        <v>104</v>
      </c>
      <c r="G39" s="279">
        <v>190461.44</v>
      </c>
      <c r="H39" s="280">
        <f t="shared" si="0"/>
        <v>161408</v>
      </c>
    </row>
    <row r="40" spans="1:8" ht="15" customHeight="1" x14ac:dyDescent="0.25">
      <c r="A40" s="262">
        <v>67</v>
      </c>
      <c r="B40" s="278" t="s">
        <v>555</v>
      </c>
      <c r="C40" s="278" t="s">
        <v>556</v>
      </c>
      <c r="D40" s="278" t="s">
        <v>557</v>
      </c>
      <c r="E40" s="278" t="s">
        <v>461</v>
      </c>
      <c r="F40" s="279">
        <v>9</v>
      </c>
      <c r="G40" s="279">
        <v>56322</v>
      </c>
      <c r="H40" s="280">
        <f t="shared" si="0"/>
        <v>47730.508474576272</v>
      </c>
    </row>
    <row r="41" spans="1:8" ht="15" customHeight="1" x14ac:dyDescent="0.25">
      <c r="A41" s="262">
        <v>69</v>
      </c>
      <c r="B41" s="278" t="s">
        <v>558</v>
      </c>
      <c r="C41" s="278" t="s">
        <v>559</v>
      </c>
      <c r="D41" s="278" t="s">
        <v>560</v>
      </c>
      <c r="E41" s="278" t="s">
        <v>461</v>
      </c>
      <c r="F41" s="279">
        <v>8</v>
      </c>
      <c r="G41" s="279">
        <v>75360</v>
      </c>
      <c r="H41" s="280">
        <f t="shared" si="0"/>
        <v>63864.406779661018</v>
      </c>
    </row>
    <row r="42" spans="1:8" ht="15" customHeight="1" x14ac:dyDescent="0.25">
      <c r="A42" s="262">
        <v>71</v>
      </c>
      <c r="B42" s="278" t="s">
        <v>561</v>
      </c>
      <c r="C42" s="278" t="s">
        <v>562</v>
      </c>
      <c r="D42" s="278" t="s">
        <v>563</v>
      </c>
      <c r="E42" s="278" t="s">
        <v>461</v>
      </c>
      <c r="F42" s="279">
        <v>16</v>
      </c>
      <c r="G42" s="279">
        <v>20800</v>
      </c>
      <c r="H42" s="280">
        <f t="shared" si="0"/>
        <v>17627.118644067799</v>
      </c>
    </row>
    <row r="43" spans="1:8" ht="15" customHeight="1" x14ac:dyDescent="0.25">
      <c r="A43" s="262">
        <v>73</v>
      </c>
      <c r="B43" s="278" t="s">
        <v>564</v>
      </c>
      <c r="C43" s="278" t="s">
        <v>565</v>
      </c>
      <c r="D43" s="278" t="s">
        <v>566</v>
      </c>
      <c r="E43" s="278" t="s">
        <v>461</v>
      </c>
      <c r="F43" s="279">
        <v>18</v>
      </c>
      <c r="G43" s="279">
        <v>12387.24</v>
      </c>
      <c r="H43" s="280">
        <f t="shared" si="0"/>
        <v>10497.661016949152</v>
      </c>
    </row>
    <row r="44" spans="1:8" ht="15" customHeight="1" x14ac:dyDescent="0.25">
      <c r="A44" s="262">
        <v>75</v>
      </c>
      <c r="B44" s="278" t="s">
        <v>567</v>
      </c>
      <c r="C44" s="278" t="s">
        <v>568</v>
      </c>
      <c r="D44" s="278" t="s">
        <v>569</v>
      </c>
      <c r="E44" s="278" t="s">
        <v>461</v>
      </c>
      <c r="F44" s="279">
        <v>473</v>
      </c>
      <c r="G44" s="279">
        <v>28380</v>
      </c>
      <c r="H44" s="280">
        <f t="shared" si="0"/>
        <v>24050.847457627118</v>
      </c>
    </row>
    <row r="45" spans="1:8" ht="15" customHeight="1" x14ac:dyDescent="0.25">
      <c r="A45" s="262">
        <v>77</v>
      </c>
      <c r="B45" s="278" t="s">
        <v>570</v>
      </c>
      <c r="C45" s="278" t="s">
        <v>571</v>
      </c>
      <c r="D45" s="278" t="s">
        <v>572</v>
      </c>
      <c r="E45" s="278" t="s">
        <v>461</v>
      </c>
      <c r="F45" s="279">
        <v>2</v>
      </c>
      <c r="G45" s="279">
        <v>4908.8</v>
      </c>
      <c r="H45" s="280">
        <f t="shared" si="0"/>
        <v>4160</v>
      </c>
    </row>
    <row r="46" spans="1:8" ht="15" customHeight="1" x14ac:dyDescent="0.25">
      <c r="A46" s="262">
        <v>79</v>
      </c>
      <c r="B46" s="278" t="s">
        <v>573</v>
      </c>
      <c r="C46" s="278" t="s">
        <v>574</v>
      </c>
      <c r="D46" s="278" t="s">
        <v>575</v>
      </c>
      <c r="E46" s="278" t="s">
        <v>461</v>
      </c>
      <c r="F46" s="279">
        <v>43</v>
      </c>
      <c r="G46" s="279">
        <v>1928.12</v>
      </c>
      <c r="H46" s="280">
        <f t="shared" si="0"/>
        <v>1634</v>
      </c>
    </row>
    <row r="47" spans="1:8" ht="15" customHeight="1" x14ac:dyDescent="0.25">
      <c r="A47" s="262">
        <v>81</v>
      </c>
      <c r="B47" s="278" t="s">
        <v>576</v>
      </c>
      <c r="C47" s="278" t="s">
        <v>577</v>
      </c>
      <c r="D47" s="278" t="s">
        <v>578</v>
      </c>
      <c r="E47" s="278" t="s">
        <v>461</v>
      </c>
      <c r="F47" s="279">
        <v>3</v>
      </c>
      <c r="G47" s="279">
        <v>116.82</v>
      </c>
      <c r="H47" s="280">
        <f t="shared" si="0"/>
        <v>99</v>
      </c>
    </row>
    <row r="48" spans="1:8" ht="15" customHeight="1" x14ac:dyDescent="0.25">
      <c r="A48" s="262">
        <v>83</v>
      </c>
      <c r="B48" s="278" t="s">
        <v>579</v>
      </c>
      <c r="C48" s="278" t="s">
        <v>580</v>
      </c>
      <c r="D48" s="278" t="s">
        <v>581</v>
      </c>
      <c r="E48" s="278" t="s">
        <v>461</v>
      </c>
      <c r="F48" s="279">
        <v>89</v>
      </c>
      <c r="G48" s="279">
        <v>1575.3</v>
      </c>
      <c r="H48" s="280">
        <f t="shared" si="0"/>
        <v>1335</v>
      </c>
    </row>
    <row r="49" spans="1:8" ht="15" customHeight="1" x14ac:dyDescent="0.25">
      <c r="A49" s="262">
        <v>85</v>
      </c>
      <c r="B49" s="278" t="s">
        <v>582</v>
      </c>
      <c r="C49" s="278" t="s">
        <v>583</v>
      </c>
      <c r="D49" s="278" t="s">
        <v>584</v>
      </c>
      <c r="E49" s="278" t="s">
        <v>461</v>
      </c>
      <c r="F49" s="279">
        <v>30</v>
      </c>
      <c r="G49" s="279">
        <v>920.4</v>
      </c>
      <c r="H49" s="280">
        <f t="shared" si="0"/>
        <v>780</v>
      </c>
    </row>
    <row r="50" spans="1:8" ht="15" customHeight="1" x14ac:dyDescent="0.25">
      <c r="A50" s="262">
        <v>87</v>
      </c>
      <c r="B50" s="278" t="s">
        <v>585</v>
      </c>
      <c r="C50" s="278" t="s">
        <v>586</v>
      </c>
      <c r="D50" s="278" t="s">
        <v>587</v>
      </c>
      <c r="E50" s="278" t="s">
        <v>461</v>
      </c>
      <c r="F50" s="279">
        <v>70</v>
      </c>
      <c r="G50" s="279">
        <v>5947.2</v>
      </c>
      <c r="H50" s="280">
        <f t="shared" si="0"/>
        <v>5040</v>
      </c>
    </row>
    <row r="51" spans="1:8" ht="15" customHeight="1" x14ac:dyDescent="0.25">
      <c r="A51" s="262">
        <v>89</v>
      </c>
      <c r="B51" s="278" t="s">
        <v>588</v>
      </c>
      <c r="C51" s="278" t="s">
        <v>589</v>
      </c>
      <c r="D51" s="278" t="s">
        <v>590</v>
      </c>
      <c r="E51" s="278" t="s">
        <v>461</v>
      </c>
      <c r="F51" s="279">
        <v>14</v>
      </c>
      <c r="G51" s="279">
        <v>429.52</v>
      </c>
      <c r="H51" s="280">
        <f t="shared" si="0"/>
        <v>364</v>
      </c>
    </row>
    <row r="52" spans="1:8" ht="15" customHeight="1" x14ac:dyDescent="0.25">
      <c r="A52" s="262">
        <v>91</v>
      </c>
      <c r="B52" s="278" t="s">
        <v>591</v>
      </c>
      <c r="C52" s="278" t="s">
        <v>592</v>
      </c>
      <c r="D52" s="278" t="s">
        <v>593</v>
      </c>
      <c r="E52" s="278" t="s">
        <v>461</v>
      </c>
      <c r="F52" s="279">
        <v>110</v>
      </c>
      <c r="G52" s="279">
        <v>660</v>
      </c>
      <c r="H52" s="280">
        <f t="shared" si="0"/>
        <v>559.32203389830511</v>
      </c>
    </row>
    <row r="53" spans="1:8" ht="15" customHeight="1" x14ac:dyDescent="0.25">
      <c r="A53" s="262">
        <v>93</v>
      </c>
      <c r="B53" s="278" t="s">
        <v>594</v>
      </c>
      <c r="C53" s="278" t="s">
        <v>595</v>
      </c>
      <c r="D53" s="278" t="s">
        <v>596</v>
      </c>
      <c r="E53" s="278" t="s">
        <v>461</v>
      </c>
      <c r="F53" s="279">
        <v>51</v>
      </c>
      <c r="G53" s="279">
        <v>1745.22</v>
      </c>
      <c r="H53" s="280">
        <f t="shared" si="0"/>
        <v>1479</v>
      </c>
    </row>
    <row r="54" spans="1:8" ht="15" customHeight="1" x14ac:dyDescent="0.25">
      <c r="A54" s="262">
        <v>95</v>
      </c>
      <c r="B54" s="278" t="s">
        <v>597</v>
      </c>
      <c r="C54" s="278" t="s">
        <v>598</v>
      </c>
      <c r="D54" s="278" t="s">
        <v>599</v>
      </c>
      <c r="E54" s="278" t="s">
        <v>461</v>
      </c>
      <c r="F54" s="279">
        <v>1549</v>
      </c>
      <c r="G54" s="279">
        <v>2369.9699999999998</v>
      </c>
      <c r="H54" s="280">
        <f t="shared" si="0"/>
        <v>2008.4491525423728</v>
      </c>
    </row>
    <row r="55" spans="1:8" ht="15" customHeight="1" x14ac:dyDescent="0.25">
      <c r="A55" s="262">
        <v>97</v>
      </c>
      <c r="B55" s="278" t="s">
        <v>600</v>
      </c>
      <c r="C55" s="278" t="s">
        <v>601</v>
      </c>
      <c r="D55" s="278" t="s">
        <v>602</v>
      </c>
      <c r="E55" s="278" t="s">
        <v>461</v>
      </c>
      <c r="F55" s="279">
        <v>95</v>
      </c>
      <c r="G55" s="279">
        <v>4025.15</v>
      </c>
      <c r="H55" s="280">
        <f t="shared" si="0"/>
        <v>3411.1440677966102</v>
      </c>
    </row>
    <row r="56" spans="1:8" ht="15" customHeight="1" x14ac:dyDescent="0.25">
      <c r="A56" s="262">
        <v>99</v>
      </c>
      <c r="B56" s="278" t="s">
        <v>603</v>
      </c>
      <c r="C56" s="278" t="s">
        <v>604</v>
      </c>
      <c r="D56" s="278" t="s">
        <v>605</v>
      </c>
      <c r="E56" s="278" t="s">
        <v>461</v>
      </c>
      <c r="F56" s="279">
        <v>177</v>
      </c>
      <c r="G56" s="279">
        <v>7966.77</v>
      </c>
      <c r="H56" s="280">
        <f t="shared" si="0"/>
        <v>6751.5000000000009</v>
      </c>
    </row>
    <row r="57" spans="1:8" ht="15" customHeight="1" x14ac:dyDescent="0.25">
      <c r="A57" s="262">
        <v>101</v>
      </c>
      <c r="B57" s="278" t="s">
        <v>606</v>
      </c>
      <c r="C57" s="278" t="s">
        <v>607</v>
      </c>
      <c r="D57" s="278" t="s">
        <v>608</v>
      </c>
      <c r="E57" s="278" t="s">
        <v>461</v>
      </c>
      <c r="F57" s="279">
        <v>380</v>
      </c>
      <c r="G57" s="279">
        <v>98648</v>
      </c>
      <c r="H57" s="280">
        <f t="shared" si="0"/>
        <v>83600</v>
      </c>
    </row>
    <row r="58" spans="1:8" ht="15" customHeight="1" x14ac:dyDescent="0.25">
      <c r="A58" s="262">
        <v>103</v>
      </c>
      <c r="B58" s="278" t="s">
        <v>609</v>
      </c>
      <c r="C58" s="278" t="s">
        <v>610</v>
      </c>
      <c r="D58" s="278" t="s">
        <v>611</v>
      </c>
      <c r="E58" s="278" t="s">
        <v>461</v>
      </c>
      <c r="F58" s="279">
        <v>139</v>
      </c>
      <c r="G58" s="279">
        <v>37396.559999999998</v>
      </c>
      <c r="H58" s="280">
        <f t="shared" si="0"/>
        <v>31692</v>
      </c>
    </row>
    <row r="59" spans="1:8" ht="15" customHeight="1" x14ac:dyDescent="0.25">
      <c r="A59" s="262">
        <v>105</v>
      </c>
      <c r="B59" s="278" t="s">
        <v>612</v>
      </c>
      <c r="C59" s="278" t="s">
        <v>613</v>
      </c>
      <c r="D59" s="278" t="s">
        <v>614</v>
      </c>
      <c r="E59" s="278" t="s">
        <v>461</v>
      </c>
      <c r="F59" s="279">
        <v>1461</v>
      </c>
      <c r="G59" s="279">
        <v>5171.9399999999996</v>
      </c>
      <c r="H59" s="280">
        <f t="shared" si="0"/>
        <v>4383</v>
      </c>
    </row>
    <row r="60" spans="1:8" ht="15" customHeight="1" x14ac:dyDescent="0.25">
      <c r="A60" s="262">
        <v>107</v>
      </c>
      <c r="B60" s="278" t="s">
        <v>615</v>
      </c>
      <c r="C60" s="278" t="s">
        <v>616</v>
      </c>
      <c r="D60" s="278" t="s">
        <v>617</v>
      </c>
      <c r="E60" s="278" t="s">
        <v>461</v>
      </c>
      <c r="F60" s="279">
        <v>6</v>
      </c>
      <c r="G60" s="279">
        <v>9600</v>
      </c>
      <c r="H60" s="280">
        <f t="shared" si="0"/>
        <v>8135.5932203389839</v>
      </c>
    </row>
    <row r="61" spans="1:8" ht="15" customHeight="1" x14ac:dyDescent="0.25">
      <c r="A61" s="262">
        <v>109</v>
      </c>
      <c r="B61" s="278" t="s">
        <v>618</v>
      </c>
      <c r="C61" s="278" t="s">
        <v>619</v>
      </c>
      <c r="D61" s="278" t="s">
        <v>620</v>
      </c>
      <c r="E61" s="278" t="s">
        <v>461</v>
      </c>
      <c r="F61" s="279">
        <v>390</v>
      </c>
      <c r="G61" s="279">
        <v>1840.8</v>
      </c>
      <c r="H61" s="280">
        <f t="shared" si="0"/>
        <v>1560</v>
      </c>
    </row>
    <row r="62" spans="1:8" ht="15" customHeight="1" x14ac:dyDescent="0.25">
      <c r="A62" s="262">
        <v>111</v>
      </c>
      <c r="B62" s="278" t="s">
        <v>621</v>
      </c>
      <c r="C62" s="278" t="s">
        <v>622</v>
      </c>
      <c r="D62" s="278" t="s">
        <v>623</v>
      </c>
      <c r="E62" s="278" t="s">
        <v>461</v>
      </c>
      <c r="F62" s="279">
        <v>175</v>
      </c>
      <c r="G62" s="279">
        <v>1239</v>
      </c>
      <c r="H62" s="280">
        <f t="shared" si="0"/>
        <v>1050</v>
      </c>
    </row>
    <row r="63" spans="1:8" ht="15" customHeight="1" x14ac:dyDescent="0.25">
      <c r="A63" s="262">
        <v>113</v>
      </c>
      <c r="B63" s="278" t="s">
        <v>624</v>
      </c>
      <c r="C63" s="278" t="s">
        <v>625</v>
      </c>
      <c r="D63" s="278" t="s">
        <v>626</v>
      </c>
      <c r="E63" s="278" t="s">
        <v>461</v>
      </c>
      <c r="F63" s="279">
        <v>625</v>
      </c>
      <c r="G63" s="279">
        <v>32500</v>
      </c>
      <c r="H63" s="280">
        <f t="shared" si="0"/>
        <v>27542.372881355932</v>
      </c>
    </row>
    <row r="64" spans="1:8" ht="15" customHeight="1" x14ac:dyDescent="0.25">
      <c r="A64" s="262">
        <v>115</v>
      </c>
      <c r="B64" s="278" t="s">
        <v>627</v>
      </c>
      <c r="C64" s="278" t="s">
        <v>628</v>
      </c>
      <c r="D64" s="278" t="s">
        <v>629</v>
      </c>
      <c r="E64" s="278" t="s">
        <v>461</v>
      </c>
      <c r="F64" s="279">
        <v>11</v>
      </c>
      <c r="G64" s="279">
        <v>389.4</v>
      </c>
      <c r="H64" s="280">
        <f t="shared" si="0"/>
        <v>330</v>
      </c>
    </row>
    <row r="65" spans="1:8" ht="15" customHeight="1" x14ac:dyDescent="0.25">
      <c r="A65" s="262">
        <v>117</v>
      </c>
      <c r="B65" s="278" t="s">
        <v>630</v>
      </c>
      <c r="C65" s="278" t="s">
        <v>631</v>
      </c>
      <c r="D65" s="278" t="s">
        <v>632</v>
      </c>
      <c r="E65" s="278" t="s">
        <v>461</v>
      </c>
      <c r="F65" s="279">
        <v>39</v>
      </c>
      <c r="G65" s="279">
        <v>4141.8</v>
      </c>
      <c r="H65" s="280">
        <f t="shared" si="0"/>
        <v>3510.0000000000005</v>
      </c>
    </row>
    <row r="66" spans="1:8" ht="15" customHeight="1" x14ac:dyDescent="0.25">
      <c r="A66" s="262">
        <v>119</v>
      </c>
      <c r="B66" s="278" t="s">
        <v>633</v>
      </c>
      <c r="C66" s="278" t="s">
        <v>634</v>
      </c>
      <c r="D66" s="278" t="s">
        <v>635</v>
      </c>
      <c r="E66" s="278" t="s">
        <v>461</v>
      </c>
      <c r="F66" s="279">
        <v>41</v>
      </c>
      <c r="G66" s="279">
        <v>12504.95</v>
      </c>
      <c r="H66" s="280">
        <f t="shared" si="0"/>
        <v>10597.415254237289</v>
      </c>
    </row>
    <row r="67" spans="1:8" ht="15" customHeight="1" x14ac:dyDescent="0.25">
      <c r="A67" s="262">
        <v>121</v>
      </c>
      <c r="B67" s="278" t="s">
        <v>636</v>
      </c>
      <c r="C67" s="278" t="s">
        <v>637</v>
      </c>
      <c r="D67" s="278" t="s">
        <v>638</v>
      </c>
      <c r="E67" s="278" t="s">
        <v>461</v>
      </c>
      <c r="F67" s="279">
        <v>86</v>
      </c>
      <c r="G67" s="279">
        <v>5995.06</v>
      </c>
      <c r="H67" s="280">
        <f t="shared" si="0"/>
        <v>5080.5593220338988</v>
      </c>
    </row>
    <row r="68" spans="1:8" ht="15" customHeight="1" x14ac:dyDescent="0.25">
      <c r="A68" s="262">
        <v>123</v>
      </c>
      <c r="B68" s="278" t="s">
        <v>639</v>
      </c>
      <c r="C68" s="278" t="s">
        <v>640</v>
      </c>
      <c r="D68" s="278" t="s">
        <v>641</v>
      </c>
      <c r="E68" s="278" t="s">
        <v>461</v>
      </c>
      <c r="F68" s="279">
        <v>1</v>
      </c>
      <c r="G68" s="279">
        <v>47.67</v>
      </c>
      <c r="H68" s="280">
        <f t="shared" si="0"/>
        <v>40.398305084745765</v>
      </c>
    </row>
    <row r="69" spans="1:8" ht="15" customHeight="1" x14ac:dyDescent="0.25">
      <c r="A69" s="262">
        <v>125</v>
      </c>
      <c r="B69" s="278" t="s">
        <v>642</v>
      </c>
      <c r="C69" s="278" t="s">
        <v>643</v>
      </c>
      <c r="D69" s="278" t="s">
        <v>644</v>
      </c>
      <c r="E69" s="278" t="s">
        <v>461</v>
      </c>
      <c r="F69" s="279">
        <v>78</v>
      </c>
      <c r="G69" s="279">
        <v>7800</v>
      </c>
      <c r="H69" s="280">
        <f t="shared" si="0"/>
        <v>6610.1694915254238</v>
      </c>
    </row>
    <row r="70" spans="1:8" ht="15" customHeight="1" x14ac:dyDescent="0.25">
      <c r="A70" s="262">
        <v>127</v>
      </c>
      <c r="B70" s="278" t="s">
        <v>645</v>
      </c>
      <c r="C70" s="278" t="s">
        <v>646</v>
      </c>
      <c r="D70" s="278" t="s">
        <v>647</v>
      </c>
      <c r="E70" s="278" t="s">
        <v>461</v>
      </c>
      <c r="F70" s="279">
        <v>28</v>
      </c>
      <c r="G70" s="279">
        <v>3640</v>
      </c>
      <c r="H70" s="280">
        <f t="shared" si="0"/>
        <v>3084.7457627118647</v>
      </c>
    </row>
    <row r="71" spans="1:8" ht="15" customHeight="1" x14ac:dyDescent="0.25">
      <c r="A71" s="262">
        <v>129</v>
      </c>
      <c r="B71" s="278" t="s">
        <v>648</v>
      </c>
      <c r="C71" s="278" t="s">
        <v>649</v>
      </c>
      <c r="D71" s="278" t="s">
        <v>650</v>
      </c>
      <c r="E71" s="278" t="s">
        <v>461</v>
      </c>
      <c r="F71" s="279">
        <v>50</v>
      </c>
      <c r="G71" s="279">
        <v>17110</v>
      </c>
      <c r="H71" s="280">
        <f t="shared" ref="H71:H134" si="1">G71/1.18</f>
        <v>14500</v>
      </c>
    </row>
    <row r="72" spans="1:8" ht="15" customHeight="1" x14ac:dyDescent="0.25">
      <c r="A72" s="262">
        <v>131</v>
      </c>
      <c r="B72" s="278" t="s">
        <v>651</v>
      </c>
      <c r="C72" s="278" t="s">
        <v>652</v>
      </c>
      <c r="D72" s="278" t="s">
        <v>653</v>
      </c>
      <c r="E72" s="278" t="s">
        <v>461</v>
      </c>
      <c r="F72" s="279">
        <v>37</v>
      </c>
      <c r="G72" s="279">
        <v>12661.4</v>
      </c>
      <c r="H72" s="280">
        <f t="shared" si="1"/>
        <v>10730</v>
      </c>
    </row>
    <row r="73" spans="1:8" ht="15" customHeight="1" x14ac:dyDescent="0.25">
      <c r="A73" s="262">
        <v>133</v>
      </c>
      <c r="B73" s="278" t="s">
        <v>654</v>
      </c>
      <c r="C73" s="278" t="s">
        <v>655</v>
      </c>
      <c r="D73" s="278" t="s">
        <v>656</v>
      </c>
      <c r="E73" s="278" t="s">
        <v>461</v>
      </c>
      <c r="F73" s="279">
        <v>57</v>
      </c>
      <c r="G73" s="279">
        <v>19505.400000000001</v>
      </c>
      <c r="H73" s="280">
        <f t="shared" si="1"/>
        <v>16530.000000000004</v>
      </c>
    </row>
    <row r="74" spans="1:8" ht="15" customHeight="1" x14ac:dyDescent="0.25">
      <c r="A74" s="262">
        <v>135</v>
      </c>
      <c r="B74" s="278" t="s">
        <v>657</v>
      </c>
      <c r="C74" s="278" t="s">
        <v>658</v>
      </c>
      <c r="D74" s="278" t="s">
        <v>659</v>
      </c>
      <c r="E74" s="278" t="s">
        <v>461</v>
      </c>
      <c r="F74" s="279">
        <v>139</v>
      </c>
      <c r="G74" s="279">
        <v>10661.3</v>
      </c>
      <c r="H74" s="280">
        <f t="shared" si="1"/>
        <v>9035</v>
      </c>
    </row>
    <row r="75" spans="1:8" ht="15" customHeight="1" x14ac:dyDescent="0.25">
      <c r="A75" s="262">
        <v>137</v>
      </c>
      <c r="B75" s="278" t="s">
        <v>660</v>
      </c>
      <c r="C75" s="278" t="s">
        <v>661</v>
      </c>
      <c r="D75" s="278" t="s">
        <v>662</v>
      </c>
      <c r="E75" s="278" t="s">
        <v>461</v>
      </c>
      <c r="F75" s="279">
        <v>172</v>
      </c>
      <c r="G75" s="279">
        <v>19281.2</v>
      </c>
      <c r="H75" s="280">
        <f t="shared" si="1"/>
        <v>16340.000000000002</v>
      </c>
    </row>
    <row r="76" spans="1:8" ht="15" customHeight="1" x14ac:dyDescent="0.25">
      <c r="A76" s="262">
        <v>139</v>
      </c>
      <c r="B76" s="278" t="s">
        <v>663</v>
      </c>
      <c r="C76" s="278" t="s">
        <v>664</v>
      </c>
      <c r="D76" s="278" t="s">
        <v>665</v>
      </c>
      <c r="E76" s="278" t="s">
        <v>461</v>
      </c>
      <c r="F76" s="279">
        <v>433</v>
      </c>
      <c r="G76" s="279">
        <v>47517.42</v>
      </c>
      <c r="H76" s="280">
        <f t="shared" si="1"/>
        <v>40269</v>
      </c>
    </row>
    <row r="77" spans="1:8" ht="15" customHeight="1" x14ac:dyDescent="0.25">
      <c r="A77" s="262">
        <v>157</v>
      </c>
      <c r="B77" s="278" t="s">
        <v>666</v>
      </c>
      <c r="C77" s="278" t="s">
        <v>667</v>
      </c>
      <c r="D77" s="278" t="s">
        <v>668</v>
      </c>
      <c r="E77" s="278" t="s">
        <v>461</v>
      </c>
      <c r="F77" s="279">
        <v>58</v>
      </c>
      <c r="G77" s="279">
        <v>13688</v>
      </c>
      <c r="H77" s="280">
        <f t="shared" si="1"/>
        <v>11600</v>
      </c>
    </row>
    <row r="78" spans="1:8" ht="15" customHeight="1" x14ac:dyDescent="0.25">
      <c r="A78" s="262">
        <v>159</v>
      </c>
      <c r="B78" s="278" t="s">
        <v>669</v>
      </c>
      <c r="C78" s="278" t="s">
        <v>670</v>
      </c>
      <c r="D78" s="278" t="s">
        <v>671</v>
      </c>
      <c r="E78" s="278" t="s">
        <v>461</v>
      </c>
      <c r="F78" s="279">
        <v>107</v>
      </c>
      <c r="G78" s="279">
        <v>11994.7</v>
      </c>
      <c r="H78" s="280">
        <f t="shared" si="1"/>
        <v>10165.000000000002</v>
      </c>
    </row>
    <row r="79" spans="1:8" ht="15" customHeight="1" x14ac:dyDescent="0.25">
      <c r="A79" s="262">
        <v>161</v>
      </c>
      <c r="B79" s="278" t="s">
        <v>672</v>
      </c>
      <c r="C79" s="278" t="s">
        <v>673</v>
      </c>
      <c r="D79" s="278" t="s">
        <v>674</v>
      </c>
      <c r="E79" s="278" t="s">
        <v>461</v>
      </c>
      <c r="F79" s="279">
        <v>63</v>
      </c>
      <c r="G79" s="279">
        <v>8177.4</v>
      </c>
      <c r="H79" s="280">
        <f t="shared" si="1"/>
        <v>6930</v>
      </c>
    </row>
    <row r="80" spans="1:8" ht="15" customHeight="1" x14ac:dyDescent="0.25">
      <c r="A80" s="262">
        <v>163</v>
      </c>
      <c r="B80" s="278" t="s">
        <v>675</v>
      </c>
      <c r="C80" s="278" t="s">
        <v>676</v>
      </c>
      <c r="D80" s="278" t="s">
        <v>677</v>
      </c>
      <c r="E80" s="278" t="s">
        <v>461</v>
      </c>
      <c r="F80" s="279">
        <v>54</v>
      </c>
      <c r="G80" s="279">
        <v>4050</v>
      </c>
      <c r="H80" s="280">
        <f t="shared" si="1"/>
        <v>3432.2033898305085</v>
      </c>
    </row>
    <row r="81" spans="1:8" ht="15" customHeight="1" x14ac:dyDescent="0.25">
      <c r="A81" s="262">
        <v>165</v>
      </c>
      <c r="B81" s="278" t="s">
        <v>678</v>
      </c>
      <c r="C81" s="278" t="s">
        <v>679</v>
      </c>
      <c r="D81" s="278" t="s">
        <v>680</v>
      </c>
      <c r="E81" s="278" t="s">
        <v>461</v>
      </c>
      <c r="F81" s="279">
        <v>77</v>
      </c>
      <c r="G81" s="279">
        <v>8631.7000000000007</v>
      </c>
      <c r="H81" s="280">
        <f t="shared" si="1"/>
        <v>7315.0000000000009</v>
      </c>
    </row>
    <row r="82" spans="1:8" ht="15" customHeight="1" x14ac:dyDescent="0.25">
      <c r="A82" s="262">
        <v>167</v>
      </c>
      <c r="B82" s="278" t="s">
        <v>681</v>
      </c>
      <c r="C82" s="278" t="s">
        <v>682</v>
      </c>
      <c r="D82" s="278" t="s">
        <v>683</v>
      </c>
      <c r="E82" s="278" t="s">
        <v>461</v>
      </c>
      <c r="F82" s="279">
        <v>14</v>
      </c>
      <c r="G82" s="279">
        <v>4130</v>
      </c>
      <c r="H82" s="280">
        <f t="shared" si="1"/>
        <v>3500</v>
      </c>
    </row>
    <row r="83" spans="1:8" ht="15" customHeight="1" x14ac:dyDescent="0.25">
      <c r="A83" s="262">
        <v>169</v>
      </c>
      <c r="B83" s="278" t="s">
        <v>684</v>
      </c>
      <c r="C83" s="278" t="s">
        <v>685</v>
      </c>
      <c r="D83" s="278" t="s">
        <v>686</v>
      </c>
      <c r="E83" s="278" t="s">
        <v>461</v>
      </c>
      <c r="F83" s="279">
        <v>1</v>
      </c>
      <c r="G83" s="279">
        <v>850</v>
      </c>
      <c r="H83" s="280">
        <f t="shared" si="1"/>
        <v>720.33898305084745</v>
      </c>
    </row>
    <row r="84" spans="1:8" ht="15" customHeight="1" x14ac:dyDescent="0.25">
      <c r="A84" s="262">
        <v>171</v>
      </c>
      <c r="B84" s="278" t="s">
        <v>687</v>
      </c>
      <c r="C84" s="278" t="s">
        <v>688</v>
      </c>
      <c r="D84" s="278" t="s">
        <v>689</v>
      </c>
      <c r="E84" s="278" t="s">
        <v>461</v>
      </c>
      <c r="F84" s="279">
        <v>195</v>
      </c>
      <c r="G84" s="279">
        <v>21859.5</v>
      </c>
      <c r="H84" s="280">
        <f t="shared" si="1"/>
        <v>18525</v>
      </c>
    </row>
    <row r="85" spans="1:8" ht="15" customHeight="1" x14ac:dyDescent="0.25">
      <c r="A85" s="262">
        <v>173</v>
      </c>
      <c r="B85" s="278" t="s">
        <v>690</v>
      </c>
      <c r="C85" s="278" t="s">
        <v>691</v>
      </c>
      <c r="D85" s="278" t="s">
        <v>692</v>
      </c>
      <c r="E85" s="278" t="s">
        <v>461</v>
      </c>
      <c r="F85" s="279">
        <v>3</v>
      </c>
      <c r="G85" s="279">
        <v>368.16</v>
      </c>
      <c r="H85" s="280">
        <f t="shared" si="1"/>
        <v>312.00000000000006</v>
      </c>
    </row>
    <row r="86" spans="1:8" ht="15" customHeight="1" x14ac:dyDescent="0.25">
      <c r="A86" s="262">
        <v>175</v>
      </c>
      <c r="B86" s="278" t="s">
        <v>693</v>
      </c>
      <c r="C86" s="278" t="s">
        <v>694</v>
      </c>
      <c r="D86" s="278" t="s">
        <v>695</v>
      </c>
      <c r="E86" s="278" t="s">
        <v>461</v>
      </c>
      <c r="F86" s="279">
        <v>139</v>
      </c>
      <c r="G86" s="279">
        <v>8340.0300000000007</v>
      </c>
      <c r="H86" s="280">
        <f t="shared" si="1"/>
        <v>7067.8220338983056</v>
      </c>
    </row>
    <row r="87" spans="1:8" ht="15" customHeight="1" x14ac:dyDescent="0.25">
      <c r="A87" s="262">
        <v>177</v>
      </c>
      <c r="B87" s="278" t="s">
        <v>696</v>
      </c>
      <c r="C87" s="278" t="s">
        <v>697</v>
      </c>
      <c r="D87" s="278" t="s">
        <v>698</v>
      </c>
      <c r="E87" s="278" t="s">
        <v>461</v>
      </c>
      <c r="F87" s="279">
        <v>442</v>
      </c>
      <c r="G87" s="279">
        <v>4420</v>
      </c>
      <c r="H87" s="280">
        <f t="shared" si="1"/>
        <v>3745.7627118644068</v>
      </c>
    </row>
    <row r="88" spans="1:8" ht="15" customHeight="1" x14ac:dyDescent="0.25">
      <c r="A88" s="262">
        <v>179</v>
      </c>
      <c r="B88" s="278" t="s">
        <v>699</v>
      </c>
      <c r="C88" s="278" t="s">
        <v>700</v>
      </c>
      <c r="D88" s="278" t="s">
        <v>701</v>
      </c>
      <c r="E88" s="278" t="s">
        <v>461</v>
      </c>
      <c r="F88" s="279">
        <v>726</v>
      </c>
      <c r="G88" s="279">
        <v>9438</v>
      </c>
      <c r="H88" s="280">
        <f t="shared" si="1"/>
        <v>7998.3050847457635</v>
      </c>
    </row>
    <row r="89" spans="1:8" ht="15" customHeight="1" x14ac:dyDescent="0.25">
      <c r="A89" s="262">
        <v>181</v>
      </c>
      <c r="B89" s="278" t="s">
        <v>702</v>
      </c>
      <c r="C89" s="278" t="s">
        <v>703</v>
      </c>
      <c r="D89" s="278" t="s">
        <v>704</v>
      </c>
      <c r="E89" s="278" t="s">
        <v>461</v>
      </c>
      <c r="F89" s="279">
        <v>170</v>
      </c>
      <c r="G89" s="279">
        <v>19057</v>
      </c>
      <c r="H89" s="280">
        <f t="shared" si="1"/>
        <v>16150</v>
      </c>
    </row>
    <row r="90" spans="1:8" ht="15" customHeight="1" x14ac:dyDescent="0.25">
      <c r="A90" s="262">
        <v>183</v>
      </c>
      <c r="B90" s="278" t="s">
        <v>705</v>
      </c>
      <c r="C90" s="278" t="s">
        <v>706</v>
      </c>
      <c r="D90" s="278" t="s">
        <v>707</v>
      </c>
      <c r="E90" s="278" t="s">
        <v>461</v>
      </c>
      <c r="F90" s="279">
        <v>230</v>
      </c>
      <c r="G90" s="279">
        <v>542.79999999999995</v>
      </c>
      <c r="H90" s="280">
        <f t="shared" si="1"/>
        <v>460</v>
      </c>
    </row>
    <row r="91" spans="1:8" ht="15" customHeight="1" x14ac:dyDescent="0.25">
      <c r="A91" s="262">
        <v>185</v>
      </c>
      <c r="B91" s="278" t="s">
        <v>708</v>
      </c>
      <c r="C91" s="278" t="s">
        <v>709</v>
      </c>
      <c r="D91" s="278" t="s">
        <v>710</v>
      </c>
      <c r="E91" s="278" t="s">
        <v>461</v>
      </c>
      <c r="F91" s="279">
        <v>126</v>
      </c>
      <c r="G91" s="279">
        <v>3122.28</v>
      </c>
      <c r="H91" s="280">
        <f t="shared" si="1"/>
        <v>2646.0000000000005</v>
      </c>
    </row>
    <row r="92" spans="1:8" ht="15" customHeight="1" x14ac:dyDescent="0.25">
      <c r="A92" s="262">
        <v>187</v>
      </c>
      <c r="B92" s="278" t="s">
        <v>711</v>
      </c>
      <c r="C92" s="278" t="s">
        <v>712</v>
      </c>
      <c r="D92" s="278" t="s">
        <v>713</v>
      </c>
      <c r="E92" s="278" t="s">
        <v>461</v>
      </c>
      <c r="F92" s="279">
        <v>585</v>
      </c>
      <c r="G92" s="279">
        <v>625.95000000000005</v>
      </c>
      <c r="H92" s="280">
        <f t="shared" si="1"/>
        <v>530.46610169491532</v>
      </c>
    </row>
    <row r="93" spans="1:8" ht="15" customHeight="1" x14ac:dyDescent="0.25">
      <c r="A93" s="262">
        <v>189</v>
      </c>
      <c r="B93" s="278" t="s">
        <v>714</v>
      </c>
      <c r="C93" s="278" t="s">
        <v>715</v>
      </c>
      <c r="D93" s="278" t="s">
        <v>716</v>
      </c>
      <c r="E93" s="278" t="s">
        <v>461</v>
      </c>
      <c r="F93" s="279">
        <v>300</v>
      </c>
      <c r="G93" s="279">
        <v>7300.07</v>
      </c>
      <c r="H93" s="280">
        <f t="shared" si="1"/>
        <v>6186.5</v>
      </c>
    </row>
    <row r="94" spans="1:8" ht="15" customHeight="1" x14ac:dyDescent="0.25">
      <c r="A94" s="262">
        <v>191</v>
      </c>
      <c r="B94" s="278" t="s">
        <v>717</v>
      </c>
      <c r="C94" s="278" t="s">
        <v>718</v>
      </c>
      <c r="D94" s="278" t="s">
        <v>719</v>
      </c>
      <c r="E94" s="278" t="s">
        <v>461</v>
      </c>
      <c r="F94" s="279">
        <v>10</v>
      </c>
      <c r="G94" s="279">
        <v>732.5</v>
      </c>
      <c r="H94" s="280">
        <f t="shared" si="1"/>
        <v>620.76271186440681</v>
      </c>
    </row>
    <row r="95" spans="1:8" ht="15" customHeight="1" x14ac:dyDescent="0.25">
      <c r="A95" s="262">
        <v>193</v>
      </c>
      <c r="B95" s="278" t="s">
        <v>720</v>
      </c>
      <c r="C95" s="278" t="s">
        <v>721</v>
      </c>
      <c r="D95" s="278" t="s">
        <v>722</v>
      </c>
      <c r="E95" s="278" t="s">
        <v>461</v>
      </c>
      <c r="F95" s="279">
        <v>13</v>
      </c>
      <c r="G95" s="279">
        <v>1353.43</v>
      </c>
      <c r="H95" s="280">
        <f t="shared" si="1"/>
        <v>1146.9745762711866</v>
      </c>
    </row>
    <row r="96" spans="1:8" ht="15" customHeight="1" x14ac:dyDescent="0.25">
      <c r="A96" s="262">
        <v>195</v>
      </c>
      <c r="B96" s="278" t="s">
        <v>723</v>
      </c>
      <c r="C96" s="278" t="s">
        <v>724</v>
      </c>
      <c r="D96" s="278" t="s">
        <v>725</v>
      </c>
      <c r="E96" s="278" t="s">
        <v>461</v>
      </c>
      <c r="F96" s="279">
        <v>109</v>
      </c>
      <c r="G96" s="279">
        <v>381.5</v>
      </c>
      <c r="H96" s="280">
        <f t="shared" si="1"/>
        <v>323.30508474576271</v>
      </c>
    </row>
    <row r="97" spans="1:8" ht="15" customHeight="1" x14ac:dyDescent="0.25">
      <c r="A97" s="262">
        <v>197</v>
      </c>
      <c r="B97" s="278" t="s">
        <v>726</v>
      </c>
      <c r="C97" s="278" t="s">
        <v>727</v>
      </c>
      <c r="D97" s="278" t="s">
        <v>728</v>
      </c>
      <c r="E97" s="278" t="s">
        <v>461</v>
      </c>
      <c r="F97" s="279">
        <v>1</v>
      </c>
      <c r="G97" s="279">
        <v>145</v>
      </c>
      <c r="H97" s="280">
        <f t="shared" si="1"/>
        <v>122.88135593220339</v>
      </c>
    </row>
    <row r="98" spans="1:8" ht="15" customHeight="1" x14ac:dyDescent="0.25">
      <c r="A98" s="262">
        <v>199</v>
      </c>
      <c r="B98" s="278" t="s">
        <v>729</v>
      </c>
      <c r="C98" s="278" t="s">
        <v>730</v>
      </c>
      <c r="D98" s="278" t="s">
        <v>731</v>
      </c>
      <c r="E98" s="278" t="s">
        <v>461</v>
      </c>
      <c r="F98" s="279">
        <v>110</v>
      </c>
      <c r="G98" s="279">
        <v>83072</v>
      </c>
      <c r="H98" s="280">
        <f t="shared" si="1"/>
        <v>70400</v>
      </c>
    </row>
    <row r="99" spans="1:8" ht="15" customHeight="1" x14ac:dyDescent="0.25">
      <c r="A99" s="262">
        <v>201</v>
      </c>
      <c r="B99" s="278" t="s">
        <v>732</v>
      </c>
      <c r="C99" s="278" t="s">
        <v>733</v>
      </c>
      <c r="D99" s="278" t="s">
        <v>734</v>
      </c>
      <c r="E99" s="278" t="s">
        <v>461</v>
      </c>
      <c r="F99" s="279">
        <v>15</v>
      </c>
      <c r="G99" s="279">
        <v>1787.7</v>
      </c>
      <c r="H99" s="280">
        <f t="shared" si="1"/>
        <v>1515.0000000000002</v>
      </c>
    </row>
    <row r="100" spans="1:8" ht="15" customHeight="1" x14ac:dyDescent="0.25">
      <c r="A100" s="262">
        <v>203</v>
      </c>
      <c r="B100" s="278" t="s">
        <v>735</v>
      </c>
      <c r="C100" s="278" t="s">
        <v>736</v>
      </c>
      <c r="D100" s="278" t="s">
        <v>737</v>
      </c>
      <c r="E100" s="278" t="s">
        <v>461</v>
      </c>
      <c r="F100" s="279">
        <v>46</v>
      </c>
      <c r="G100" s="279">
        <v>1194.1600000000001</v>
      </c>
      <c r="H100" s="280">
        <f t="shared" si="1"/>
        <v>1012.0000000000001</v>
      </c>
    </row>
    <row r="101" spans="1:8" ht="15" customHeight="1" x14ac:dyDescent="0.25">
      <c r="A101" s="262">
        <v>205</v>
      </c>
      <c r="B101" s="278" t="s">
        <v>738</v>
      </c>
      <c r="C101" s="278" t="s">
        <v>739</v>
      </c>
      <c r="D101" s="278" t="s">
        <v>740</v>
      </c>
      <c r="E101" s="278" t="s">
        <v>461</v>
      </c>
      <c r="F101" s="279">
        <v>1</v>
      </c>
      <c r="G101" s="279">
        <v>359.9</v>
      </c>
      <c r="H101" s="280">
        <f t="shared" si="1"/>
        <v>305</v>
      </c>
    </row>
    <row r="102" spans="1:8" ht="15" customHeight="1" x14ac:dyDescent="0.25">
      <c r="A102" s="262">
        <v>207</v>
      </c>
      <c r="B102" s="278" t="s">
        <v>741</v>
      </c>
      <c r="C102" s="278" t="s">
        <v>742</v>
      </c>
      <c r="D102" s="278" t="s">
        <v>743</v>
      </c>
      <c r="E102" s="278" t="s">
        <v>461</v>
      </c>
      <c r="F102" s="279">
        <v>17</v>
      </c>
      <c r="G102" s="279">
        <v>318.35000000000002</v>
      </c>
      <c r="H102" s="280">
        <f t="shared" si="1"/>
        <v>269.78813559322037</v>
      </c>
    </row>
    <row r="103" spans="1:8" ht="15" customHeight="1" x14ac:dyDescent="0.25">
      <c r="A103" s="262">
        <v>209</v>
      </c>
      <c r="B103" s="278" t="s">
        <v>744</v>
      </c>
      <c r="C103" s="278" t="s">
        <v>745</v>
      </c>
      <c r="D103" s="278" t="s">
        <v>746</v>
      </c>
      <c r="E103" s="278" t="s">
        <v>461</v>
      </c>
      <c r="F103" s="279">
        <v>1294</v>
      </c>
      <c r="G103" s="279">
        <v>3047370</v>
      </c>
      <c r="H103" s="280">
        <f t="shared" si="1"/>
        <v>2582516.9491525423</v>
      </c>
    </row>
    <row r="104" spans="1:8" ht="15" customHeight="1" x14ac:dyDescent="0.25">
      <c r="A104" s="262">
        <v>211</v>
      </c>
      <c r="B104" s="278" t="s">
        <v>747</v>
      </c>
      <c r="C104" s="278" t="s">
        <v>748</v>
      </c>
      <c r="D104" s="278" t="s">
        <v>749</v>
      </c>
      <c r="E104" s="278" t="s">
        <v>461</v>
      </c>
      <c r="F104" s="279">
        <v>1</v>
      </c>
      <c r="G104" s="279">
        <v>12744</v>
      </c>
      <c r="H104" s="280">
        <f t="shared" si="1"/>
        <v>10800</v>
      </c>
    </row>
    <row r="105" spans="1:8" ht="15" customHeight="1" x14ac:dyDescent="0.25">
      <c r="A105" s="262">
        <v>213</v>
      </c>
      <c r="B105" s="278" t="s">
        <v>750</v>
      </c>
      <c r="C105" s="278" t="s">
        <v>751</v>
      </c>
      <c r="D105" s="278" t="s">
        <v>752</v>
      </c>
      <c r="E105" s="278" t="s">
        <v>461</v>
      </c>
      <c r="F105" s="279">
        <v>12000</v>
      </c>
      <c r="G105" s="279">
        <v>563992.80000000005</v>
      </c>
      <c r="H105" s="280">
        <f t="shared" si="1"/>
        <v>477960.00000000006</v>
      </c>
    </row>
    <row r="106" spans="1:8" ht="15" customHeight="1" x14ac:dyDescent="0.25">
      <c r="A106" s="262">
        <v>215</v>
      </c>
      <c r="B106" s="278" t="s">
        <v>753</v>
      </c>
      <c r="C106" s="278" t="s">
        <v>754</v>
      </c>
      <c r="D106" s="278" t="s">
        <v>755</v>
      </c>
      <c r="E106" s="278" t="s">
        <v>461</v>
      </c>
      <c r="F106" s="279">
        <v>4</v>
      </c>
      <c r="G106" s="279">
        <v>3684.01</v>
      </c>
      <c r="H106" s="280">
        <f t="shared" si="1"/>
        <v>3122.0423728813562</v>
      </c>
    </row>
    <row r="107" spans="1:8" ht="15" customHeight="1" x14ac:dyDescent="0.25">
      <c r="A107" s="262">
        <v>217</v>
      </c>
      <c r="B107" s="278" t="s">
        <v>756</v>
      </c>
      <c r="C107" s="278" t="s">
        <v>757</v>
      </c>
      <c r="D107" s="278" t="s">
        <v>758</v>
      </c>
      <c r="E107" s="278" t="s">
        <v>461</v>
      </c>
      <c r="F107" s="279">
        <v>78</v>
      </c>
      <c r="G107" s="279">
        <v>42120</v>
      </c>
      <c r="H107" s="280">
        <f t="shared" si="1"/>
        <v>35694.91525423729</v>
      </c>
    </row>
    <row r="108" spans="1:8" ht="15" customHeight="1" x14ac:dyDescent="0.25">
      <c r="A108" s="262">
        <v>219</v>
      </c>
      <c r="B108" s="278" t="s">
        <v>759</v>
      </c>
      <c r="C108" s="278" t="s">
        <v>760</v>
      </c>
      <c r="D108" s="278" t="s">
        <v>761</v>
      </c>
      <c r="E108" s="278" t="s">
        <v>461</v>
      </c>
      <c r="F108" s="279">
        <v>154</v>
      </c>
      <c r="G108" s="279">
        <v>4543</v>
      </c>
      <c r="H108" s="280">
        <f t="shared" si="1"/>
        <v>3850</v>
      </c>
    </row>
    <row r="109" spans="1:8" ht="15" customHeight="1" x14ac:dyDescent="0.25">
      <c r="A109" s="262">
        <v>221</v>
      </c>
      <c r="B109" s="278" t="s">
        <v>762</v>
      </c>
      <c r="C109" s="278" t="s">
        <v>763</v>
      </c>
      <c r="D109" s="278" t="s">
        <v>764</v>
      </c>
      <c r="E109" s="278" t="s">
        <v>461</v>
      </c>
      <c r="F109" s="279">
        <v>53</v>
      </c>
      <c r="G109" s="279">
        <v>317.47000000000003</v>
      </c>
      <c r="H109" s="280">
        <f t="shared" si="1"/>
        <v>269.04237288135596</v>
      </c>
    </row>
    <row r="110" spans="1:8" ht="15" customHeight="1" x14ac:dyDescent="0.25">
      <c r="A110" s="262">
        <v>223</v>
      </c>
      <c r="B110" s="278" t="s">
        <v>765</v>
      </c>
      <c r="C110" s="278" t="s">
        <v>766</v>
      </c>
      <c r="D110" s="278" t="s">
        <v>767</v>
      </c>
      <c r="E110" s="278" t="s">
        <v>461</v>
      </c>
      <c r="F110" s="279">
        <v>44</v>
      </c>
      <c r="G110" s="279">
        <v>439.56</v>
      </c>
      <c r="H110" s="280">
        <f t="shared" si="1"/>
        <v>372.50847457627123</v>
      </c>
    </row>
    <row r="111" spans="1:8" ht="15" customHeight="1" x14ac:dyDescent="0.25">
      <c r="A111" s="262">
        <v>225</v>
      </c>
      <c r="B111" s="278" t="s">
        <v>768</v>
      </c>
      <c r="C111" s="278" t="s">
        <v>769</v>
      </c>
      <c r="D111" s="278" t="s">
        <v>770</v>
      </c>
      <c r="E111" s="278" t="s">
        <v>461</v>
      </c>
      <c r="F111" s="279">
        <v>18</v>
      </c>
      <c r="G111" s="279">
        <v>714.06</v>
      </c>
      <c r="H111" s="280">
        <f t="shared" si="1"/>
        <v>605.13559322033893</v>
      </c>
    </row>
    <row r="112" spans="1:8" ht="15" customHeight="1" x14ac:dyDescent="0.25">
      <c r="A112" s="262">
        <v>227</v>
      </c>
      <c r="B112" s="278" t="s">
        <v>771</v>
      </c>
      <c r="C112" s="278" t="s">
        <v>772</v>
      </c>
      <c r="D112" s="278" t="s">
        <v>773</v>
      </c>
      <c r="E112" s="278" t="s">
        <v>461</v>
      </c>
      <c r="F112" s="279">
        <v>439</v>
      </c>
      <c r="G112" s="279">
        <v>1140522</v>
      </c>
      <c r="H112" s="280">
        <f t="shared" si="1"/>
        <v>966544.06779661018</v>
      </c>
    </row>
    <row r="113" spans="1:8" ht="15" customHeight="1" x14ac:dyDescent="0.25">
      <c r="A113" s="262">
        <v>229</v>
      </c>
      <c r="B113" s="278" t="s">
        <v>774</v>
      </c>
      <c r="C113" s="278" t="s">
        <v>775</v>
      </c>
      <c r="D113" s="278" t="s">
        <v>776</v>
      </c>
      <c r="E113" s="278" t="s">
        <v>461</v>
      </c>
      <c r="F113" s="279">
        <v>3</v>
      </c>
      <c r="G113" s="279">
        <v>1050</v>
      </c>
      <c r="H113" s="280">
        <f t="shared" si="1"/>
        <v>889.83050847457628</v>
      </c>
    </row>
    <row r="114" spans="1:8" ht="15" customHeight="1" x14ac:dyDescent="0.25">
      <c r="A114" s="262">
        <v>231</v>
      </c>
      <c r="B114" s="278" t="s">
        <v>777</v>
      </c>
      <c r="C114" s="278" t="s">
        <v>778</v>
      </c>
      <c r="D114" s="278" t="s">
        <v>779</v>
      </c>
      <c r="E114" s="278" t="s">
        <v>461</v>
      </c>
      <c r="F114" s="279">
        <v>1</v>
      </c>
      <c r="G114" s="279">
        <v>2118.64</v>
      </c>
      <c r="H114" s="280">
        <f t="shared" si="1"/>
        <v>1795.457627118644</v>
      </c>
    </row>
    <row r="115" spans="1:8" ht="15" customHeight="1" x14ac:dyDescent="0.25">
      <c r="A115" s="262">
        <v>233</v>
      </c>
      <c r="B115" s="278" t="s">
        <v>780</v>
      </c>
      <c r="C115" s="278" t="s">
        <v>781</v>
      </c>
      <c r="D115" s="278" t="s">
        <v>782</v>
      </c>
      <c r="E115" s="278" t="s">
        <v>461</v>
      </c>
      <c r="F115" s="279">
        <v>10</v>
      </c>
      <c r="G115" s="279">
        <v>524.63</v>
      </c>
      <c r="H115" s="280">
        <f t="shared" si="1"/>
        <v>444.60169491525426</v>
      </c>
    </row>
    <row r="116" spans="1:8" ht="15" customHeight="1" x14ac:dyDescent="0.25">
      <c r="A116" s="262">
        <v>235</v>
      </c>
      <c r="B116" s="278" t="s">
        <v>783</v>
      </c>
      <c r="C116" s="278" t="s">
        <v>784</v>
      </c>
      <c r="D116" s="278" t="s">
        <v>785</v>
      </c>
      <c r="E116" s="278" t="s">
        <v>461</v>
      </c>
      <c r="F116" s="279">
        <v>6</v>
      </c>
      <c r="G116" s="279">
        <v>1139.8800000000001</v>
      </c>
      <c r="H116" s="280">
        <f t="shared" si="1"/>
        <v>966.00000000000011</v>
      </c>
    </row>
    <row r="117" spans="1:8" ht="15" customHeight="1" x14ac:dyDescent="0.25">
      <c r="A117" s="262">
        <v>237</v>
      </c>
      <c r="B117" s="278" t="s">
        <v>786</v>
      </c>
      <c r="C117" s="278" t="s">
        <v>787</v>
      </c>
      <c r="D117" s="278" t="s">
        <v>788</v>
      </c>
      <c r="E117" s="278" t="s">
        <v>461</v>
      </c>
      <c r="F117" s="279">
        <v>16</v>
      </c>
      <c r="G117" s="279">
        <v>2080</v>
      </c>
      <c r="H117" s="280">
        <f t="shared" si="1"/>
        <v>1762.7118644067798</v>
      </c>
    </row>
    <row r="118" spans="1:8" ht="15" customHeight="1" x14ac:dyDescent="0.25">
      <c r="A118" s="262">
        <v>239</v>
      </c>
      <c r="B118" s="278" t="s">
        <v>789</v>
      </c>
      <c r="C118" s="278" t="s">
        <v>790</v>
      </c>
      <c r="D118" s="278" t="s">
        <v>791</v>
      </c>
      <c r="E118" s="278" t="s">
        <v>461</v>
      </c>
      <c r="F118" s="279">
        <v>-1</v>
      </c>
      <c r="G118" s="279">
        <v>-6844</v>
      </c>
      <c r="H118" s="280">
        <f t="shared" si="1"/>
        <v>-5800</v>
      </c>
    </row>
    <row r="119" spans="1:8" ht="15" customHeight="1" x14ac:dyDescent="0.25">
      <c r="A119" s="262">
        <v>241</v>
      </c>
      <c r="B119" s="278" t="s">
        <v>792</v>
      </c>
      <c r="C119" s="278" t="s">
        <v>793</v>
      </c>
      <c r="D119" s="278" t="s">
        <v>794</v>
      </c>
      <c r="E119" s="278" t="s">
        <v>461</v>
      </c>
      <c r="F119" s="279">
        <v>4</v>
      </c>
      <c r="G119" s="279">
        <v>9109.6</v>
      </c>
      <c r="H119" s="280">
        <f t="shared" si="1"/>
        <v>7720.0000000000009</v>
      </c>
    </row>
    <row r="120" spans="1:8" ht="15" customHeight="1" x14ac:dyDescent="0.25">
      <c r="A120" s="262">
        <v>243</v>
      </c>
      <c r="B120" s="278" t="s">
        <v>795</v>
      </c>
      <c r="C120" s="278" t="s">
        <v>796</v>
      </c>
      <c r="D120" s="278" t="s">
        <v>797</v>
      </c>
      <c r="E120" s="278" t="s">
        <v>461</v>
      </c>
      <c r="F120" s="279">
        <v>30</v>
      </c>
      <c r="G120" s="279">
        <v>38940</v>
      </c>
      <c r="H120" s="280">
        <f t="shared" si="1"/>
        <v>33000</v>
      </c>
    </row>
    <row r="121" spans="1:8" ht="15" customHeight="1" x14ac:dyDescent="0.25">
      <c r="A121" s="262">
        <v>245</v>
      </c>
      <c r="B121" s="278" t="s">
        <v>798</v>
      </c>
      <c r="C121" s="278" t="s">
        <v>799</v>
      </c>
      <c r="D121" s="278" t="s">
        <v>800</v>
      </c>
      <c r="E121" s="278" t="s">
        <v>461</v>
      </c>
      <c r="F121" s="279">
        <v>164</v>
      </c>
      <c r="G121" s="279">
        <v>77408</v>
      </c>
      <c r="H121" s="280">
        <f t="shared" si="1"/>
        <v>65600</v>
      </c>
    </row>
    <row r="122" spans="1:8" ht="15" customHeight="1" x14ac:dyDescent="0.25">
      <c r="A122" s="262">
        <v>247</v>
      </c>
      <c r="B122" s="278" t="s">
        <v>801</v>
      </c>
      <c r="C122" s="278" t="s">
        <v>802</v>
      </c>
      <c r="D122" s="278" t="s">
        <v>803</v>
      </c>
      <c r="E122" s="278" t="s">
        <v>461</v>
      </c>
      <c r="F122" s="279">
        <v>1185</v>
      </c>
      <c r="G122" s="279">
        <v>26070</v>
      </c>
      <c r="H122" s="280">
        <f t="shared" si="1"/>
        <v>22093.220338983054</v>
      </c>
    </row>
    <row r="123" spans="1:8" ht="15" customHeight="1" x14ac:dyDescent="0.25">
      <c r="A123" s="262">
        <v>249</v>
      </c>
      <c r="B123" s="278" t="s">
        <v>804</v>
      </c>
      <c r="C123" s="278" t="s">
        <v>805</v>
      </c>
      <c r="D123" s="278" t="s">
        <v>806</v>
      </c>
      <c r="E123" s="278" t="s">
        <v>461</v>
      </c>
      <c r="F123" s="279">
        <v>13</v>
      </c>
      <c r="G123" s="279">
        <v>1857.7</v>
      </c>
      <c r="H123" s="280">
        <f t="shared" si="1"/>
        <v>1574.3220338983051</v>
      </c>
    </row>
    <row r="124" spans="1:8" ht="15" customHeight="1" x14ac:dyDescent="0.25">
      <c r="A124" s="262">
        <v>251</v>
      </c>
      <c r="B124" s="278" t="s">
        <v>807</v>
      </c>
      <c r="C124" s="278" t="s">
        <v>808</v>
      </c>
      <c r="D124" s="278" t="s">
        <v>809</v>
      </c>
      <c r="E124" s="278" t="s">
        <v>461</v>
      </c>
      <c r="F124" s="279">
        <v>23</v>
      </c>
      <c r="G124" s="279">
        <v>7870.6</v>
      </c>
      <c r="H124" s="280">
        <f t="shared" si="1"/>
        <v>6670.0000000000009</v>
      </c>
    </row>
    <row r="125" spans="1:8" ht="15" customHeight="1" x14ac:dyDescent="0.25">
      <c r="A125" s="262">
        <v>253</v>
      </c>
      <c r="B125" s="278" t="s">
        <v>810</v>
      </c>
      <c r="C125" s="278" t="s">
        <v>811</v>
      </c>
      <c r="D125" s="278" t="s">
        <v>812</v>
      </c>
      <c r="E125" s="278" t="s">
        <v>461</v>
      </c>
      <c r="F125" s="279">
        <v>264</v>
      </c>
      <c r="G125" s="279">
        <v>155760</v>
      </c>
      <c r="H125" s="280">
        <f t="shared" si="1"/>
        <v>132000</v>
      </c>
    </row>
    <row r="126" spans="1:8" ht="15" customHeight="1" x14ac:dyDescent="0.25">
      <c r="A126" s="262">
        <v>255</v>
      </c>
      <c r="B126" s="278" t="s">
        <v>813</v>
      </c>
      <c r="C126" s="278" t="s">
        <v>814</v>
      </c>
      <c r="D126" s="278" t="s">
        <v>815</v>
      </c>
      <c r="E126" s="278" t="s">
        <v>461</v>
      </c>
      <c r="F126" s="279">
        <v>12</v>
      </c>
      <c r="G126" s="279">
        <v>42055.199999999997</v>
      </c>
      <c r="H126" s="280">
        <f t="shared" si="1"/>
        <v>35640</v>
      </c>
    </row>
    <row r="127" spans="1:8" ht="15" customHeight="1" x14ac:dyDescent="0.25">
      <c r="A127" s="262">
        <v>257</v>
      </c>
      <c r="B127" s="278" t="s">
        <v>816</v>
      </c>
      <c r="C127" s="278" t="s">
        <v>817</v>
      </c>
      <c r="D127" s="278" t="s">
        <v>818</v>
      </c>
      <c r="E127" s="278" t="s">
        <v>461</v>
      </c>
      <c r="F127" s="279">
        <v>392.4</v>
      </c>
      <c r="G127" s="279">
        <v>105645.85</v>
      </c>
      <c r="H127" s="280">
        <f t="shared" si="1"/>
        <v>89530.381355932215</v>
      </c>
    </row>
    <row r="128" spans="1:8" ht="15" customHeight="1" x14ac:dyDescent="0.25">
      <c r="A128" s="262">
        <v>259</v>
      </c>
      <c r="B128" s="278" t="s">
        <v>819</v>
      </c>
      <c r="C128" s="278" t="s">
        <v>820</v>
      </c>
      <c r="D128" s="278" t="s">
        <v>821</v>
      </c>
      <c r="E128" s="278" t="s">
        <v>461</v>
      </c>
      <c r="F128" s="279">
        <v>58</v>
      </c>
      <c r="G128" s="279">
        <v>10730</v>
      </c>
      <c r="H128" s="280">
        <f t="shared" si="1"/>
        <v>9093.220338983052</v>
      </c>
    </row>
    <row r="129" spans="1:8" ht="15" customHeight="1" x14ac:dyDescent="0.25">
      <c r="A129" s="262">
        <v>261</v>
      </c>
      <c r="B129" s="278" t="s">
        <v>822</v>
      </c>
      <c r="C129" s="278" t="s">
        <v>823</v>
      </c>
      <c r="D129" s="278" t="s">
        <v>824</v>
      </c>
      <c r="E129" s="278" t="s">
        <v>461</v>
      </c>
      <c r="F129" s="279">
        <v>42</v>
      </c>
      <c r="G129" s="279">
        <v>10584</v>
      </c>
      <c r="H129" s="280">
        <f t="shared" si="1"/>
        <v>8969.4915254237294</v>
      </c>
    </row>
    <row r="130" spans="1:8" ht="15" customHeight="1" x14ac:dyDescent="0.25">
      <c r="A130" s="262">
        <v>263</v>
      </c>
      <c r="B130" s="278" t="s">
        <v>825</v>
      </c>
      <c r="C130" s="278" t="s">
        <v>826</v>
      </c>
      <c r="D130" s="278" t="s">
        <v>827</v>
      </c>
      <c r="E130" s="278" t="s">
        <v>461</v>
      </c>
      <c r="F130" s="279">
        <v>20</v>
      </c>
      <c r="G130" s="279">
        <v>6715.6</v>
      </c>
      <c r="H130" s="280">
        <f t="shared" si="1"/>
        <v>5691.1864406779669</v>
      </c>
    </row>
    <row r="131" spans="1:8" ht="15" customHeight="1" x14ac:dyDescent="0.25">
      <c r="A131" s="262">
        <v>265</v>
      </c>
      <c r="B131" s="278" t="s">
        <v>828</v>
      </c>
      <c r="C131" s="278" t="s">
        <v>829</v>
      </c>
      <c r="D131" s="278" t="s">
        <v>830</v>
      </c>
      <c r="E131" s="278" t="s">
        <v>461</v>
      </c>
      <c r="F131" s="279">
        <v>10</v>
      </c>
      <c r="G131" s="279">
        <v>1080</v>
      </c>
      <c r="H131" s="280">
        <f t="shared" si="1"/>
        <v>915.25423728813564</v>
      </c>
    </row>
    <row r="132" spans="1:8" ht="15" customHeight="1" x14ac:dyDescent="0.25">
      <c r="A132" s="262">
        <v>267</v>
      </c>
      <c r="B132" s="278" t="s">
        <v>831</v>
      </c>
      <c r="C132" s="278" t="s">
        <v>832</v>
      </c>
      <c r="D132" s="278" t="s">
        <v>833</v>
      </c>
      <c r="E132" s="278" t="s">
        <v>461</v>
      </c>
      <c r="F132" s="279">
        <v>2</v>
      </c>
      <c r="G132" s="279">
        <v>500</v>
      </c>
      <c r="H132" s="280">
        <f t="shared" si="1"/>
        <v>423.72881355932208</v>
      </c>
    </row>
    <row r="133" spans="1:8" ht="15" customHeight="1" x14ac:dyDescent="0.25">
      <c r="A133" s="262">
        <v>269</v>
      </c>
      <c r="B133" s="278" t="s">
        <v>834</v>
      </c>
      <c r="C133" s="278" t="s">
        <v>835</v>
      </c>
      <c r="D133" s="278" t="s">
        <v>836</v>
      </c>
      <c r="E133" s="278" t="s">
        <v>461</v>
      </c>
      <c r="F133" s="279">
        <v>187</v>
      </c>
      <c r="G133" s="279">
        <v>8789</v>
      </c>
      <c r="H133" s="280">
        <f t="shared" si="1"/>
        <v>7448.3050847457635</v>
      </c>
    </row>
    <row r="134" spans="1:8" ht="15" customHeight="1" x14ac:dyDescent="0.25">
      <c r="A134" s="262">
        <v>271</v>
      </c>
      <c r="B134" s="278" t="s">
        <v>837</v>
      </c>
      <c r="C134" s="278" t="s">
        <v>838</v>
      </c>
      <c r="D134" s="278" t="s">
        <v>839</v>
      </c>
      <c r="E134" s="278" t="s">
        <v>461</v>
      </c>
      <c r="F134" s="279">
        <v>57</v>
      </c>
      <c r="G134" s="279">
        <v>1292.08</v>
      </c>
      <c r="H134" s="280">
        <f t="shared" si="1"/>
        <v>1094.9830508474577</v>
      </c>
    </row>
    <row r="135" spans="1:8" ht="15" customHeight="1" x14ac:dyDescent="0.25">
      <c r="A135" s="262">
        <v>273</v>
      </c>
      <c r="B135" s="278" t="s">
        <v>840</v>
      </c>
      <c r="C135" s="278" t="s">
        <v>841</v>
      </c>
      <c r="D135" s="278" t="s">
        <v>842</v>
      </c>
      <c r="E135" s="278" t="s">
        <v>461</v>
      </c>
      <c r="F135" s="279">
        <v>1536</v>
      </c>
      <c r="G135" s="279">
        <v>63420.18</v>
      </c>
      <c r="H135" s="280">
        <f t="shared" ref="H135:H198" si="2">G135/1.18</f>
        <v>53745.91525423729</v>
      </c>
    </row>
    <row r="136" spans="1:8" ht="15" customHeight="1" x14ac:dyDescent="0.25">
      <c r="A136" s="262">
        <v>275</v>
      </c>
      <c r="B136" s="278" t="s">
        <v>843</v>
      </c>
      <c r="C136" s="278" t="s">
        <v>844</v>
      </c>
      <c r="D136" s="278" t="s">
        <v>845</v>
      </c>
      <c r="E136" s="278" t="s">
        <v>461</v>
      </c>
      <c r="F136" s="279">
        <v>32</v>
      </c>
      <c r="G136" s="279">
        <v>3839.68</v>
      </c>
      <c r="H136" s="280">
        <f t="shared" si="2"/>
        <v>3253.9661016949153</v>
      </c>
    </row>
    <row r="137" spans="1:8" ht="15" customHeight="1" x14ac:dyDescent="0.25">
      <c r="A137" s="262">
        <v>277</v>
      </c>
      <c r="B137" s="278" t="s">
        <v>846</v>
      </c>
      <c r="C137" s="278" t="s">
        <v>847</v>
      </c>
      <c r="D137" s="278" t="s">
        <v>848</v>
      </c>
      <c r="E137" s="278" t="s">
        <v>461</v>
      </c>
      <c r="F137" s="279">
        <v>21</v>
      </c>
      <c r="G137" s="279">
        <v>378</v>
      </c>
      <c r="H137" s="280">
        <f t="shared" si="2"/>
        <v>320.3389830508475</v>
      </c>
    </row>
    <row r="138" spans="1:8" ht="15" customHeight="1" x14ac:dyDescent="0.25">
      <c r="A138" s="262">
        <v>279</v>
      </c>
      <c r="B138" s="278" t="s">
        <v>849</v>
      </c>
      <c r="C138" s="278" t="s">
        <v>850</v>
      </c>
      <c r="D138" s="278" t="s">
        <v>851</v>
      </c>
      <c r="E138" s="278" t="s">
        <v>461</v>
      </c>
      <c r="F138" s="279">
        <v>252</v>
      </c>
      <c r="G138" s="279">
        <v>11340</v>
      </c>
      <c r="H138" s="280">
        <f t="shared" si="2"/>
        <v>9610.1694915254247</v>
      </c>
    </row>
    <row r="139" spans="1:8" ht="15" customHeight="1" x14ac:dyDescent="0.25">
      <c r="A139" s="262">
        <v>281</v>
      </c>
      <c r="B139" s="278" t="s">
        <v>852</v>
      </c>
      <c r="C139" s="278" t="s">
        <v>853</v>
      </c>
      <c r="D139" s="278" t="s">
        <v>854</v>
      </c>
      <c r="E139" s="278" t="s">
        <v>461</v>
      </c>
      <c r="F139" s="279">
        <v>280</v>
      </c>
      <c r="G139" s="279">
        <v>22400</v>
      </c>
      <c r="H139" s="280">
        <f t="shared" si="2"/>
        <v>18983.050847457627</v>
      </c>
    </row>
    <row r="140" spans="1:8" ht="15" customHeight="1" x14ac:dyDescent="0.25">
      <c r="A140" s="262">
        <v>283</v>
      </c>
      <c r="B140" s="278" t="s">
        <v>855</v>
      </c>
      <c r="C140" s="278" t="s">
        <v>856</v>
      </c>
      <c r="D140" s="278" t="s">
        <v>857</v>
      </c>
      <c r="E140" s="278" t="s">
        <v>461</v>
      </c>
      <c r="F140" s="279">
        <v>523</v>
      </c>
      <c r="G140" s="279">
        <v>54915.040000000001</v>
      </c>
      <c r="H140" s="280">
        <f t="shared" si="2"/>
        <v>46538.169491525427</v>
      </c>
    </row>
    <row r="141" spans="1:8" ht="15" customHeight="1" x14ac:dyDescent="0.25">
      <c r="A141" s="262">
        <v>285</v>
      </c>
      <c r="B141" s="278" t="s">
        <v>858</v>
      </c>
      <c r="C141" s="278" t="s">
        <v>859</v>
      </c>
      <c r="D141" s="278" t="s">
        <v>860</v>
      </c>
      <c r="E141" s="278" t="s">
        <v>461</v>
      </c>
      <c r="F141" s="279">
        <v>77</v>
      </c>
      <c r="G141" s="279">
        <v>154462</v>
      </c>
      <c r="H141" s="280">
        <f t="shared" si="2"/>
        <v>130900</v>
      </c>
    </row>
    <row r="142" spans="1:8" ht="15" customHeight="1" x14ac:dyDescent="0.25">
      <c r="A142" s="262">
        <v>287</v>
      </c>
      <c r="B142" s="278" t="s">
        <v>861</v>
      </c>
      <c r="C142" s="278" t="s">
        <v>862</v>
      </c>
      <c r="D142" s="278" t="s">
        <v>863</v>
      </c>
      <c r="E142" s="278" t="s">
        <v>461</v>
      </c>
      <c r="F142" s="279">
        <v>43</v>
      </c>
      <c r="G142" s="279">
        <v>266514</v>
      </c>
      <c r="H142" s="280">
        <f t="shared" si="2"/>
        <v>225859.32203389832</v>
      </c>
    </row>
    <row r="143" spans="1:8" ht="15" customHeight="1" x14ac:dyDescent="0.25">
      <c r="A143" s="262">
        <v>289</v>
      </c>
      <c r="B143" s="278" t="s">
        <v>864</v>
      </c>
      <c r="C143" s="278" t="s">
        <v>865</v>
      </c>
      <c r="D143" s="278" t="s">
        <v>866</v>
      </c>
      <c r="E143" s="278" t="s">
        <v>461</v>
      </c>
      <c r="F143" s="279">
        <v>16</v>
      </c>
      <c r="G143" s="279">
        <v>2832</v>
      </c>
      <c r="H143" s="280">
        <f t="shared" si="2"/>
        <v>2400</v>
      </c>
    </row>
    <row r="144" spans="1:8" ht="15" customHeight="1" x14ac:dyDescent="0.25">
      <c r="A144" s="262">
        <v>291</v>
      </c>
      <c r="B144" s="278" t="s">
        <v>867</v>
      </c>
      <c r="C144" s="278" t="s">
        <v>868</v>
      </c>
      <c r="D144" s="278" t="s">
        <v>869</v>
      </c>
      <c r="E144" s="278" t="s">
        <v>461</v>
      </c>
      <c r="F144" s="279">
        <v>101</v>
      </c>
      <c r="G144" s="279">
        <v>3456.22</v>
      </c>
      <c r="H144" s="280">
        <f t="shared" si="2"/>
        <v>2929</v>
      </c>
    </row>
    <row r="145" spans="1:11" ht="15" customHeight="1" x14ac:dyDescent="0.25">
      <c r="A145" s="262">
        <v>293</v>
      </c>
      <c r="B145" s="278" t="s">
        <v>870</v>
      </c>
      <c r="C145" s="278" t="s">
        <v>871</v>
      </c>
      <c r="D145" s="278" t="s">
        <v>872</v>
      </c>
      <c r="E145" s="278" t="s">
        <v>461</v>
      </c>
      <c r="F145" s="279">
        <v>5</v>
      </c>
      <c r="G145" s="279">
        <v>125</v>
      </c>
      <c r="H145" s="280">
        <f t="shared" si="2"/>
        <v>105.93220338983052</v>
      </c>
    </row>
    <row r="146" spans="1:11" ht="15" customHeight="1" x14ac:dyDescent="0.25">
      <c r="A146" s="262">
        <v>295</v>
      </c>
      <c r="B146" s="278" t="s">
        <v>873</v>
      </c>
      <c r="C146" s="278" t="s">
        <v>874</v>
      </c>
      <c r="D146" s="278" t="s">
        <v>875</v>
      </c>
      <c r="E146" s="278" t="s">
        <v>461</v>
      </c>
      <c r="F146" s="279">
        <v>64</v>
      </c>
      <c r="G146" s="279">
        <v>640</v>
      </c>
      <c r="H146" s="280">
        <f t="shared" si="2"/>
        <v>542.37288135593224</v>
      </c>
    </row>
    <row r="147" spans="1:11" ht="15" customHeight="1" x14ac:dyDescent="0.25">
      <c r="A147" s="262">
        <v>313</v>
      </c>
      <c r="B147" s="278" t="s">
        <v>876</v>
      </c>
      <c r="C147" s="278" t="s">
        <v>877</v>
      </c>
      <c r="D147" s="278" t="s">
        <v>878</v>
      </c>
      <c r="E147" s="278" t="s">
        <v>461</v>
      </c>
      <c r="F147" s="279">
        <v>218</v>
      </c>
      <c r="G147" s="279">
        <v>5402.04</v>
      </c>
      <c r="H147" s="280">
        <f t="shared" si="2"/>
        <v>4578</v>
      </c>
    </row>
    <row r="148" spans="1:11" ht="15" customHeight="1" x14ac:dyDescent="0.25">
      <c r="A148" s="262">
        <v>315</v>
      </c>
      <c r="B148" s="278" t="s">
        <v>879</v>
      </c>
      <c r="C148" s="278" t="s">
        <v>880</v>
      </c>
      <c r="D148" s="278" t="s">
        <v>881</v>
      </c>
      <c r="E148" s="278" t="s">
        <v>461</v>
      </c>
      <c r="F148" s="279">
        <v>6</v>
      </c>
      <c r="G148" s="279">
        <v>165.06</v>
      </c>
      <c r="H148" s="280">
        <f t="shared" si="2"/>
        <v>139.88135593220341</v>
      </c>
      <c r="K148" s="262" t="s">
        <v>453</v>
      </c>
    </row>
    <row r="149" spans="1:11" ht="15" customHeight="1" x14ac:dyDescent="0.25">
      <c r="A149" s="262">
        <v>317</v>
      </c>
      <c r="B149" s="278" t="s">
        <v>882</v>
      </c>
      <c r="C149" s="278" t="s">
        <v>883</v>
      </c>
      <c r="D149" s="278" t="s">
        <v>884</v>
      </c>
      <c r="E149" s="278" t="s">
        <v>461</v>
      </c>
      <c r="F149" s="279">
        <v>37</v>
      </c>
      <c r="G149" s="279">
        <v>9823.5</v>
      </c>
      <c r="H149" s="280">
        <f t="shared" si="2"/>
        <v>8325</v>
      </c>
    </row>
    <row r="150" spans="1:11" ht="15" customHeight="1" x14ac:dyDescent="0.25">
      <c r="A150" s="262">
        <v>319</v>
      </c>
      <c r="B150" s="278" t="s">
        <v>885</v>
      </c>
      <c r="C150" s="278" t="s">
        <v>886</v>
      </c>
      <c r="D150" s="278" t="s">
        <v>887</v>
      </c>
      <c r="E150" s="278" t="s">
        <v>461</v>
      </c>
      <c r="F150" s="279">
        <v>70</v>
      </c>
      <c r="G150" s="279">
        <v>62776</v>
      </c>
      <c r="H150" s="280">
        <f t="shared" si="2"/>
        <v>53200</v>
      </c>
    </row>
    <row r="151" spans="1:11" ht="15" customHeight="1" x14ac:dyDescent="0.25">
      <c r="A151" s="262">
        <v>321</v>
      </c>
      <c r="B151" s="278" t="s">
        <v>888</v>
      </c>
      <c r="C151" s="278" t="s">
        <v>889</v>
      </c>
      <c r="D151" s="278" t="s">
        <v>890</v>
      </c>
      <c r="E151" s="278" t="s">
        <v>461</v>
      </c>
      <c r="F151" s="279">
        <v>1000</v>
      </c>
      <c r="G151" s="279">
        <v>244968</v>
      </c>
      <c r="H151" s="280">
        <f t="shared" si="2"/>
        <v>207600</v>
      </c>
    </row>
    <row r="152" spans="1:11" ht="15" customHeight="1" x14ac:dyDescent="0.25">
      <c r="A152" s="262">
        <v>323</v>
      </c>
      <c r="B152" s="278" t="s">
        <v>891</v>
      </c>
      <c r="C152" s="278" t="s">
        <v>892</v>
      </c>
      <c r="D152" s="278" t="s">
        <v>893</v>
      </c>
      <c r="E152" s="278" t="s">
        <v>461</v>
      </c>
      <c r="F152" s="279">
        <v>50</v>
      </c>
      <c r="G152" s="279">
        <v>4387.24</v>
      </c>
      <c r="H152" s="280">
        <f t="shared" si="2"/>
        <v>3718</v>
      </c>
    </row>
    <row r="153" spans="1:11" ht="15" customHeight="1" x14ac:dyDescent="0.25">
      <c r="A153" s="262">
        <v>325</v>
      </c>
      <c r="B153" s="278" t="s">
        <v>894</v>
      </c>
      <c r="C153" s="278" t="s">
        <v>895</v>
      </c>
      <c r="D153" s="278" t="s">
        <v>896</v>
      </c>
      <c r="E153" s="278" t="s">
        <v>461</v>
      </c>
      <c r="F153" s="279">
        <v>63</v>
      </c>
      <c r="G153" s="279">
        <v>7805.7</v>
      </c>
      <c r="H153" s="280">
        <f t="shared" si="2"/>
        <v>6615</v>
      </c>
    </row>
    <row r="154" spans="1:11" ht="15" customHeight="1" x14ac:dyDescent="0.25">
      <c r="A154" s="262">
        <v>327</v>
      </c>
      <c r="B154" s="278" t="s">
        <v>897</v>
      </c>
      <c r="C154" s="278" t="s">
        <v>898</v>
      </c>
      <c r="D154" s="278" t="s">
        <v>899</v>
      </c>
      <c r="E154" s="278" t="s">
        <v>461</v>
      </c>
      <c r="F154" s="279">
        <v>5</v>
      </c>
      <c r="G154" s="279">
        <v>3625</v>
      </c>
      <c r="H154" s="280">
        <f t="shared" si="2"/>
        <v>3072.0338983050851</v>
      </c>
    </row>
    <row r="155" spans="1:11" ht="15" customHeight="1" x14ac:dyDescent="0.25">
      <c r="A155" s="262">
        <v>329</v>
      </c>
      <c r="B155" s="278" t="s">
        <v>900</v>
      </c>
      <c r="C155" s="278" t="s">
        <v>901</v>
      </c>
      <c r="D155" s="278" t="s">
        <v>902</v>
      </c>
      <c r="E155" s="278" t="s">
        <v>461</v>
      </c>
      <c r="F155" s="279">
        <v>1</v>
      </c>
      <c r="G155" s="279">
        <v>750</v>
      </c>
      <c r="H155" s="280">
        <f t="shared" si="2"/>
        <v>635.59322033898309</v>
      </c>
    </row>
    <row r="156" spans="1:11" ht="15" customHeight="1" x14ac:dyDescent="0.25">
      <c r="A156" s="262">
        <v>331</v>
      </c>
      <c r="B156" s="278" t="s">
        <v>903</v>
      </c>
      <c r="C156" s="278" t="s">
        <v>904</v>
      </c>
      <c r="D156" s="278" t="s">
        <v>905</v>
      </c>
      <c r="E156" s="278" t="s">
        <v>461</v>
      </c>
      <c r="F156" s="279">
        <v>26</v>
      </c>
      <c r="G156" s="279">
        <v>2756</v>
      </c>
      <c r="H156" s="280">
        <f t="shared" si="2"/>
        <v>2335.593220338983</v>
      </c>
    </row>
    <row r="157" spans="1:11" ht="15" customHeight="1" x14ac:dyDescent="0.25">
      <c r="A157" s="262">
        <v>333</v>
      </c>
      <c r="B157" s="278" t="s">
        <v>906</v>
      </c>
      <c r="C157" s="278" t="s">
        <v>907</v>
      </c>
      <c r="D157" s="278" t="s">
        <v>908</v>
      </c>
      <c r="E157" s="278" t="s">
        <v>461</v>
      </c>
      <c r="F157" s="279">
        <v>11</v>
      </c>
      <c r="G157" s="279">
        <v>770</v>
      </c>
      <c r="H157" s="280">
        <f t="shared" si="2"/>
        <v>652.54237288135596</v>
      </c>
    </row>
    <row r="158" spans="1:11" ht="15" customHeight="1" x14ac:dyDescent="0.25">
      <c r="A158" s="262">
        <v>335</v>
      </c>
      <c r="B158" s="278" t="s">
        <v>909</v>
      </c>
      <c r="C158" s="278" t="s">
        <v>910</v>
      </c>
      <c r="D158" s="278" t="s">
        <v>911</v>
      </c>
      <c r="E158" s="278" t="s">
        <v>461</v>
      </c>
      <c r="F158" s="279">
        <v>26</v>
      </c>
      <c r="G158" s="279">
        <v>19500</v>
      </c>
      <c r="H158" s="280">
        <f t="shared" si="2"/>
        <v>16525.423728813559</v>
      </c>
    </row>
    <row r="159" spans="1:11" ht="15" customHeight="1" x14ac:dyDescent="0.25">
      <c r="A159" s="262">
        <v>337</v>
      </c>
      <c r="B159" s="278" t="s">
        <v>912</v>
      </c>
      <c r="C159" s="278" t="s">
        <v>913</v>
      </c>
      <c r="D159" s="278" t="s">
        <v>914</v>
      </c>
      <c r="E159" s="278" t="s">
        <v>461</v>
      </c>
      <c r="F159" s="279">
        <v>7</v>
      </c>
      <c r="G159" s="279">
        <v>4413.49</v>
      </c>
      <c r="H159" s="280">
        <f t="shared" si="2"/>
        <v>3740.2457627118642</v>
      </c>
    </row>
    <row r="160" spans="1:11" ht="15" customHeight="1" x14ac:dyDescent="0.25">
      <c r="A160" s="262">
        <v>339</v>
      </c>
      <c r="B160" s="278" t="s">
        <v>915</v>
      </c>
      <c r="C160" s="278" t="s">
        <v>916</v>
      </c>
      <c r="D160" s="278" t="s">
        <v>917</v>
      </c>
      <c r="E160" s="278" t="s">
        <v>461</v>
      </c>
      <c r="F160" s="279">
        <v>2</v>
      </c>
      <c r="G160" s="279">
        <v>900</v>
      </c>
      <c r="H160" s="280">
        <f t="shared" si="2"/>
        <v>762.71186440677968</v>
      </c>
    </row>
    <row r="161" spans="1:8" ht="15" customHeight="1" x14ac:dyDescent="0.25">
      <c r="A161" s="262">
        <v>341</v>
      </c>
      <c r="B161" s="278" t="s">
        <v>918</v>
      </c>
      <c r="C161" s="278" t="s">
        <v>919</v>
      </c>
      <c r="D161" s="278" t="s">
        <v>920</v>
      </c>
      <c r="E161" s="278" t="s">
        <v>461</v>
      </c>
      <c r="F161" s="279">
        <v>12</v>
      </c>
      <c r="G161" s="279">
        <v>8135.64</v>
      </c>
      <c r="H161" s="280">
        <f t="shared" si="2"/>
        <v>6894.610169491526</v>
      </c>
    </row>
    <row r="162" spans="1:8" ht="15" customHeight="1" x14ac:dyDescent="0.25">
      <c r="A162" s="262">
        <v>343</v>
      </c>
      <c r="B162" s="278" t="s">
        <v>921</v>
      </c>
      <c r="C162" s="278" t="s">
        <v>922</v>
      </c>
      <c r="D162" s="278" t="s">
        <v>923</v>
      </c>
      <c r="E162" s="278" t="s">
        <v>461</v>
      </c>
      <c r="F162" s="279">
        <v>3</v>
      </c>
      <c r="G162" s="279">
        <v>135</v>
      </c>
      <c r="H162" s="280">
        <f t="shared" si="2"/>
        <v>114.40677966101696</v>
      </c>
    </row>
    <row r="163" spans="1:8" ht="15" customHeight="1" x14ac:dyDescent="0.25">
      <c r="A163" s="262">
        <v>345</v>
      </c>
      <c r="B163" s="278" t="s">
        <v>924</v>
      </c>
      <c r="C163" s="278" t="s">
        <v>925</v>
      </c>
      <c r="D163" s="278" t="s">
        <v>926</v>
      </c>
      <c r="E163" s="278" t="s">
        <v>461</v>
      </c>
      <c r="F163" s="279">
        <v>40</v>
      </c>
      <c r="G163" s="279">
        <v>1416</v>
      </c>
      <c r="H163" s="280">
        <f t="shared" si="2"/>
        <v>1200</v>
      </c>
    </row>
    <row r="164" spans="1:8" ht="15" customHeight="1" x14ac:dyDescent="0.25">
      <c r="A164" s="262">
        <v>347</v>
      </c>
      <c r="B164" s="278" t="s">
        <v>927</v>
      </c>
      <c r="C164" s="278" t="s">
        <v>928</v>
      </c>
      <c r="D164" s="278" t="s">
        <v>929</v>
      </c>
      <c r="E164" s="278" t="s">
        <v>461</v>
      </c>
      <c r="F164" s="279">
        <v>894</v>
      </c>
      <c r="G164" s="279">
        <v>35760</v>
      </c>
      <c r="H164" s="280">
        <f t="shared" si="2"/>
        <v>30305.084745762713</v>
      </c>
    </row>
    <row r="165" spans="1:8" ht="15" customHeight="1" x14ac:dyDescent="0.25">
      <c r="A165" s="262">
        <v>349</v>
      </c>
      <c r="B165" s="278" t="s">
        <v>930</v>
      </c>
      <c r="C165" s="278" t="s">
        <v>931</v>
      </c>
      <c r="D165" s="278" t="s">
        <v>932</v>
      </c>
      <c r="E165" s="278" t="s">
        <v>461</v>
      </c>
      <c r="F165" s="279">
        <v>41</v>
      </c>
      <c r="G165" s="279">
        <v>3280</v>
      </c>
      <c r="H165" s="280">
        <f t="shared" si="2"/>
        <v>2779.6610169491528</v>
      </c>
    </row>
    <row r="166" spans="1:8" ht="15" customHeight="1" x14ac:dyDescent="0.25">
      <c r="A166" s="262">
        <v>351</v>
      </c>
      <c r="B166" s="278" t="s">
        <v>933</v>
      </c>
      <c r="C166" s="278" t="s">
        <v>934</v>
      </c>
      <c r="D166" s="278" t="s">
        <v>935</v>
      </c>
      <c r="E166" s="278" t="s">
        <v>461</v>
      </c>
      <c r="F166" s="279">
        <v>17</v>
      </c>
      <c r="G166" s="279">
        <v>9605</v>
      </c>
      <c r="H166" s="280">
        <f t="shared" si="2"/>
        <v>8139.8305084745771</v>
      </c>
    </row>
    <row r="167" spans="1:8" ht="15" customHeight="1" x14ac:dyDescent="0.25">
      <c r="A167" s="262">
        <v>353</v>
      </c>
      <c r="B167" s="278" t="s">
        <v>936</v>
      </c>
      <c r="C167" s="278" t="s">
        <v>937</v>
      </c>
      <c r="D167" s="278" t="s">
        <v>938</v>
      </c>
      <c r="E167" s="278" t="s">
        <v>461</v>
      </c>
      <c r="F167" s="279">
        <v>69</v>
      </c>
      <c r="G167" s="279">
        <v>27716.98</v>
      </c>
      <c r="H167" s="280">
        <f t="shared" si="2"/>
        <v>23488.966101694918</v>
      </c>
    </row>
    <row r="168" spans="1:8" ht="15" customHeight="1" x14ac:dyDescent="0.25">
      <c r="A168" s="262">
        <v>355</v>
      </c>
      <c r="B168" s="278" t="s">
        <v>939</v>
      </c>
      <c r="C168" s="278" t="s">
        <v>940</v>
      </c>
      <c r="D168" s="278" t="s">
        <v>941</v>
      </c>
      <c r="E168" s="278" t="s">
        <v>461</v>
      </c>
      <c r="F168" s="279">
        <v>95</v>
      </c>
      <c r="G168" s="279">
        <v>40375</v>
      </c>
      <c r="H168" s="280">
        <f t="shared" si="2"/>
        <v>34216.101694915254</v>
      </c>
    </row>
    <row r="169" spans="1:8" ht="15" customHeight="1" x14ac:dyDescent="0.25">
      <c r="A169" s="262">
        <v>357</v>
      </c>
      <c r="B169" s="278" t="s">
        <v>942</v>
      </c>
      <c r="C169" s="278" t="s">
        <v>943</v>
      </c>
      <c r="D169" s="278" t="s">
        <v>944</v>
      </c>
      <c r="E169" s="278" t="s">
        <v>461</v>
      </c>
      <c r="F169" s="279">
        <v>42</v>
      </c>
      <c r="G169" s="279">
        <v>31500</v>
      </c>
      <c r="H169" s="280">
        <f t="shared" si="2"/>
        <v>26694.91525423729</v>
      </c>
    </row>
    <row r="170" spans="1:8" ht="15" customHeight="1" x14ac:dyDescent="0.25">
      <c r="A170" s="262">
        <v>359</v>
      </c>
      <c r="B170" s="278" t="s">
        <v>945</v>
      </c>
      <c r="C170" s="278" t="s">
        <v>946</v>
      </c>
      <c r="D170" s="278" t="s">
        <v>947</v>
      </c>
      <c r="E170" s="278" t="s">
        <v>461</v>
      </c>
      <c r="F170" s="279">
        <v>1</v>
      </c>
      <c r="G170" s="279">
        <v>87025</v>
      </c>
      <c r="H170" s="280">
        <f t="shared" si="2"/>
        <v>73750</v>
      </c>
    </row>
    <row r="171" spans="1:8" ht="15" customHeight="1" x14ac:dyDescent="0.25">
      <c r="A171" s="262">
        <v>361</v>
      </c>
      <c r="B171" s="278" t="s">
        <v>948</v>
      </c>
      <c r="C171" s="278" t="s">
        <v>949</v>
      </c>
      <c r="D171" s="278" t="s">
        <v>950</v>
      </c>
      <c r="E171" s="278" t="s">
        <v>461</v>
      </c>
      <c r="F171" s="279">
        <v>75</v>
      </c>
      <c r="G171" s="279">
        <v>9000</v>
      </c>
      <c r="H171" s="280">
        <f t="shared" si="2"/>
        <v>7627.1186440677966</v>
      </c>
    </row>
    <row r="172" spans="1:8" ht="15" customHeight="1" x14ac:dyDescent="0.25">
      <c r="A172" s="262">
        <v>363</v>
      </c>
      <c r="B172" s="278" t="s">
        <v>951</v>
      </c>
      <c r="C172" s="278" t="s">
        <v>952</v>
      </c>
      <c r="D172" s="278" t="s">
        <v>953</v>
      </c>
      <c r="E172" s="278" t="s">
        <v>461</v>
      </c>
      <c r="F172" s="279">
        <v>38</v>
      </c>
      <c r="G172" s="279">
        <v>28587.74</v>
      </c>
      <c r="H172" s="280">
        <f t="shared" si="2"/>
        <v>24226.898305084749</v>
      </c>
    </row>
    <row r="173" spans="1:8" ht="15" customHeight="1" x14ac:dyDescent="0.25">
      <c r="A173" s="262">
        <v>365</v>
      </c>
      <c r="B173" s="278" t="s">
        <v>954</v>
      </c>
      <c r="C173" s="278" t="s">
        <v>955</v>
      </c>
      <c r="D173" s="278" t="s">
        <v>956</v>
      </c>
      <c r="E173" s="278" t="s">
        <v>461</v>
      </c>
      <c r="F173" s="279">
        <v>400</v>
      </c>
      <c r="G173" s="279">
        <v>10000</v>
      </c>
      <c r="H173" s="280">
        <f t="shared" si="2"/>
        <v>8474.5762711864409</v>
      </c>
    </row>
    <row r="174" spans="1:8" ht="15" customHeight="1" x14ac:dyDescent="0.25">
      <c r="A174" s="262">
        <v>367</v>
      </c>
      <c r="B174" s="278" t="s">
        <v>957</v>
      </c>
      <c r="C174" s="278" t="s">
        <v>958</v>
      </c>
      <c r="D174" s="278" t="s">
        <v>959</v>
      </c>
      <c r="E174" s="278" t="s">
        <v>461</v>
      </c>
      <c r="F174" s="279">
        <v>3</v>
      </c>
      <c r="G174" s="279">
        <v>1884</v>
      </c>
      <c r="H174" s="280">
        <f t="shared" si="2"/>
        <v>1596.6101694915255</v>
      </c>
    </row>
    <row r="175" spans="1:8" ht="15" customHeight="1" x14ac:dyDescent="0.25">
      <c r="A175" s="262">
        <v>369</v>
      </c>
      <c r="B175" s="278" t="s">
        <v>960</v>
      </c>
      <c r="C175" s="278" t="s">
        <v>961</v>
      </c>
      <c r="D175" s="278" t="s">
        <v>962</v>
      </c>
      <c r="E175" s="278" t="s">
        <v>461</v>
      </c>
      <c r="F175" s="279">
        <v>1</v>
      </c>
      <c r="G175" s="279">
        <v>375.24</v>
      </c>
      <c r="H175" s="280">
        <f t="shared" si="2"/>
        <v>318</v>
      </c>
    </row>
    <row r="176" spans="1:8" ht="15" customHeight="1" x14ac:dyDescent="0.25">
      <c r="A176" s="262">
        <v>371</v>
      </c>
      <c r="B176" s="278" t="s">
        <v>963</v>
      </c>
      <c r="C176" s="278" t="s">
        <v>964</v>
      </c>
      <c r="D176" s="278" t="s">
        <v>965</v>
      </c>
      <c r="E176" s="278" t="s">
        <v>461</v>
      </c>
      <c r="F176" s="279">
        <v>90</v>
      </c>
      <c r="G176" s="279">
        <v>16014.96</v>
      </c>
      <c r="H176" s="280">
        <f t="shared" si="2"/>
        <v>13572</v>
      </c>
    </row>
    <row r="177" spans="1:8" ht="15" customHeight="1" x14ac:dyDescent="0.25">
      <c r="A177" s="262">
        <v>373</v>
      </c>
      <c r="B177" s="278" t="s">
        <v>966</v>
      </c>
      <c r="C177" s="278" t="s">
        <v>967</v>
      </c>
      <c r="D177" s="278" t="s">
        <v>968</v>
      </c>
      <c r="E177" s="278" t="s">
        <v>461</v>
      </c>
      <c r="F177" s="279">
        <v>28</v>
      </c>
      <c r="G177" s="279">
        <v>14000</v>
      </c>
      <c r="H177" s="280">
        <f t="shared" si="2"/>
        <v>11864.406779661018</v>
      </c>
    </row>
    <row r="178" spans="1:8" ht="15" customHeight="1" x14ac:dyDescent="0.25">
      <c r="A178" s="262">
        <v>375</v>
      </c>
      <c r="B178" s="278" t="s">
        <v>969</v>
      </c>
      <c r="C178" s="278" t="s">
        <v>970</v>
      </c>
      <c r="D178" s="278" t="s">
        <v>971</v>
      </c>
      <c r="E178" s="278" t="s">
        <v>461</v>
      </c>
      <c r="F178" s="279">
        <v>35</v>
      </c>
      <c r="G178" s="279">
        <v>4375</v>
      </c>
      <c r="H178" s="280">
        <f t="shared" si="2"/>
        <v>3707.6271186440681</v>
      </c>
    </row>
    <row r="179" spans="1:8" ht="15" customHeight="1" x14ac:dyDescent="0.25">
      <c r="A179" s="262">
        <v>377</v>
      </c>
      <c r="B179" s="278" t="s">
        <v>972</v>
      </c>
      <c r="C179" s="278" t="s">
        <v>973</v>
      </c>
      <c r="D179" s="278" t="s">
        <v>974</v>
      </c>
      <c r="E179" s="278" t="s">
        <v>461</v>
      </c>
      <c r="F179" s="279">
        <v>2</v>
      </c>
      <c r="G179" s="279">
        <v>8200</v>
      </c>
      <c r="H179" s="280">
        <f t="shared" si="2"/>
        <v>6949.1525423728817</v>
      </c>
    </row>
    <row r="180" spans="1:8" ht="15" customHeight="1" x14ac:dyDescent="0.25">
      <c r="A180" s="262">
        <v>379</v>
      </c>
      <c r="B180" s="278" t="s">
        <v>975</v>
      </c>
      <c r="C180" s="278" t="s">
        <v>976</v>
      </c>
      <c r="D180" s="278" t="s">
        <v>977</v>
      </c>
      <c r="E180" s="278" t="s">
        <v>461</v>
      </c>
      <c r="F180" s="279">
        <v>132500</v>
      </c>
      <c r="G180" s="279">
        <v>203255</v>
      </c>
      <c r="H180" s="280">
        <f t="shared" si="2"/>
        <v>172250</v>
      </c>
    </row>
    <row r="181" spans="1:8" ht="15" customHeight="1" x14ac:dyDescent="0.25">
      <c r="A181" s="262">
        <v>381</v>
      </c>
      <c r="B181" s="278" t="s">
        <v>978</v>
      </c>
      <c r="C181" s="278" t="s">
        <v>979</v>
      </c>
      <c r="D181" s="278" t="s">
        <v>980</v>
      </c>
      <c r="E181" s="278" t="s">
        <v>461</v>
      </c>
      <c r="F181" s="279">
        <v>10</v>
      </c>
      <c r="G181" s="279">
        <v>1800</v>
      </c>
      <c r="H181" s="280">
        <f t="shared" si="2"/>
        <v>1525.4237288135594</v>
      </c>
    </row>
    <row r="182" spans="1:8" ht="15" customHeight="1" x14ac:dyDescent="0.25">
      <c r="A182" s="262">
        <v>383</v>
      </c>
      <c r="B182" s="278" t="s">
        <v>981</v>
      </c>
      <c r="C182" s="278" t="s">
        <v>982</v>
      </c>
      <c r="D182" s="278" t="s">
        <v>983</v>
      </c>
      <c r="E182" s="278" t="s">
        <v>461</v>
      </c>
      <c r="F182" s="279">
        <v>2191</v>
      </c>
      <c r="G182" s="279">
        <v>2081450</v>
      </c>
      <c r="H182" s="280">
        <f t="shared" si="2"/>
        <v>1763940.6779661018</v>
      </c>
    </row>
    <row r="183" spans="1:8" ht="15" customHeight="1" x14ac:dyDescent="0.25">
      <c r="A183" s="262">
        <v>385</v>
      </c>
      <c r="B183" s="278" t="s">
        <v>984</v>
      </c>
      <c r="C183" s="278" t="s">
        <v>985</v>
      </c>
      <c r="D183" s="278" t="s">
        <v>986</v>
      </c>
      <c r="E183" s="278" t="s">
        <v>461</v>
      </c>
      <c r="F183" s="279">
        <v>10</v>
      </c>
      <c r="G183" s="279">
        <v>34574</v>
      </c>
      <c r="H183" s="280">
        <f t="shared" si="2"/>
        <v>29300</v>
      </c>
    </row>
    <row r="184" spans="1:8" ht="15" customHeight="1" x14ac:dyDescent="0.25">
      <c r="A184" s="262">
        <v>387</v>
      </c>
      <c r="B184" s="278" t="s">
        <v>987</v>
      </c>
      <c r="C184" s="278" t="s">
        <v>988</v>
      </c>
      <c r="D184" s="278" t="s">
        <v>989</v>
      </c>
      <c r="E184" s="278" t="s">
        <v>461</v>
      </c>
      <c r="F184" s="279">
        <v>265</v>
      </c>
      <c r="G184" s="279">
        <v>29706.5</v>
      </c>
      <c r="H184" s="280">
        <f t="shared" si="2"/>
        <v>25175</v>
      </c>
    </row>
    <row r="185" spans="1:8" ht="15" customHeight="1" x14ac:dyDescent="0.25">
      <c r="A185" s="262">
        <v>389</v>
      </c>
      <c r="B185" s="278" t="s">
        <v>990</v>
      </c>
      <c r="C185" s="278" t="s">
        <v>991</v>
      </c>
      <c r="D185" s="278" t="s">
        <v>992</v>
      </c>
      <c r="E185" s="278" t="s">
        <v>461</v>
      </c>
      <c r="F185" s="279">
        <v>51</v>
      </c>
      <c r="G185" s="279">
        <v>890.05</v>
      </c>
      <c r="H185" s="280">
        <f t="shared" si="2"/>
        <v>754.27966101694915</v>
      </c>
    </row>
    <row r="186" spans="1:8" ht="15" customHeight="1" x14ac:dyDescent="0.25">
      <c r="A186" s="262">
        <v>391</v>
      </c>
      <c r="B186" s="278" t="s">
        <v>993</v>
      </c>
      <c r="C186" s="278" t="s">
        <v>994</v>
      </c>
      <c r="D186" s="278" t="s">
        <v>995</v>
      </c>
      <c r="E186" s="278" t="s">
        <v>461</v>
      </c>
      <c r="F186" s="279">
        <v>22</v>
      </c>
      <c r="G186" s="279">
        <v>5841</v>
      </c>
      <c r="H186" s="280">
        <f t="shared" si="2"/>
        <v>4950</v>
      </c>
    </row>
    <row r="187" spans="1:8" ht="15" customHeight="1" x14ac:dyDescent="0.25">
      <c r="A187" s="262">
        <v>393</v>
      </c>
      <c r="B187" s="278" t="s">
        <v>996</v>
      </c>
      <c r="C187" s="278" t="s">
        <v>997</v>
      </c>
      <c r="D187" s="278" t="s">
        <v>998</v>
      </c>
      <c r="E187" s="278" t="s">
        <v>461</v>
      </c>
      <c r="F187" s="279">
        <v>22</v>
      </c>
      <c r="G187" s="279">
        <v>2959.44</v>
      </c>
      <c r="H187" s="280">
        <f t="shared" si="2"/>
        <v>2508</v>
      </c>
    </row>
    <row r="188" spans="1:8" ht="15" customHeight="1" x14ac:dyDescent="0.25">
      <c r="A188" s="262">
        <v>395</v>
      </c>
      <c r="B188" s="278" t="s">
        <v>999</v>
      </c>
      <c r="C188" s="278" t="s">
        <v>1000</v>
      </c>
      <c r="D188" s="278" t="s">
        <v>1001</v>
      </c>
      <c r="E188" s="278" t="s">
        <v>461</v>
      </c>
      <c r="F188" s="279">
        <v>34</v>
      </c>
      <c r="G188" s="279">
        <v>4086.12</v>
      </c>
      <c r="H188" s="280">
        <f t="shared" si="2"/>
        <v>3462.8135593220341</v>
      </c>
    </row>
    <row r="189" spans="1:8" ht="15" customHeight="1" x14ac:dyDescent="0.25">
      <c r="A189" s="262">
        <v>397</v>
      </c>
      <c r="B189" s="278" t="s">
        <v>1002</v>
      </c>
      <c r="C189" s="278" t="s">
        <v>1003</v>
      </c>
      <c r="D189" s="278" t="s">
        <v>1004</v>
      </c>
      <c r="E189" s="278" t="s">
        <v>461</v>
      </c>
      <c r="F189" s="279">
        <v>3</v>
      </c>
      <c r="G189" s="279">
        <v>1800</v>
      </c>
      <c r="H189" s="280">
        <f t="shared" si="2"/>
        <v>1525.4237288135594</v>
      </c>
    </row>
    <row r="190" spans="1:8" ht="15" customHeight="1" x14ac:dyDescent="0.25">
      <c r="A190" s="262">
        <v>399</v>
      </c>
      <c r="B190" s="278" t="s">
        <v>1005</v>
      </c>
      <c r="C190" s="278" t="s">
        <v>1006</v>
      </c>
      <c r="D190" s="278" t="s">
        <v>1007</v>
      </c>
      <c r="E190" s="278" t="s">
        <v>461</v>
      </c>
      <c r="F190" s="279">
        <v>1</v>
      </c>
      <c r="G190" s="279">
        <v>1314.52</v>
      </c>
      <c r="H190" s="280">
        <f t="shared" si="2"/>
        <v>1114</v>
      </c>
    </row>
    <row r="191" spans="1:8" ht="15" customHeight="1" x14ac:dyDescent="0.25">
      <c r="A191" s="262">
        <v>401</v>
      </c>
      <c r="B191" s="278" t="s">
        <v>1008</v>
      </c>
      <c r="C191" s="278" t="s">
        <v>1009</v>
      </c>
      <c r="D191" s="278" t="s">
        <v>1010</v>
      </c>
      <c r="E191" s="278" t="s">
        <v>461</v>
      </c>
      <c r="F191" s="279">
        <v>14</v>
      </c>
      <c r="G191" s="279">
        <v>8400</v>
      </c>
      <c r="H191" s="280">
        <f t="shared" si="2"/>
        <v>7118.6440677966102</v>
      </c>
    </row>
    <row r="192" spans="1:8" ht="15" customHeight="1" x14ac:dyDescent="0.25">
      <c r="A192" s="262">
        <v>403</v>
      </c>
      <c r="B192" s="278" t="s">
        <v>1011</v>
      </c>
      <c r="C192" s="278" t="s">
        <v>1012</v>
      </c>
      <c r="D192" s="278" t="s">
        <v>1013</v>
      </c>
      <c r="E192" s="278" t="s">
        <v>461</v>
      </c>
      <c r="F192" s="279">
        <v>8</v>
      </c>
      <c r="G192" s="279">
        <v>640</v>
      </c>
      <c r="H192" s="280">
        <f t="shared" si="2"/>
        <v>542.37288135593224</v>
      </c>
    </row>
    <row r="193" spans="1:8" ht="15" customHeight="1" x14ac:dyDescent="0.25">
      <c r="A193" s="262">
        <v>405</v>
      </c>
      <c r="B193" s="278" t="s">
        <v>1014</v>
      </c>
      <c r="C193" s="278" t="s">
        <v>1015</v>
      </c>
      <c r="D193" s="278" t="s">
        <v>1016</v>
      </c>
      <c r="E193" s="278" t="s">
        <v>461</v>
      </c>
      <c r="F193" s="279">
        <v>2</v>
      </c>
      <c r="G193" s="279">
        <v>3000</v>
      </c>
      <c r="H193" s="280">
        <f t="shared" si="2"/>
        <v>2542.3728813559323</v>
      </c>
    </row>
    <row r="194" spans="1:8" ht="15" customHeight="1" x14ac:dyDescent="0.25">
      <c r="A194" s="262">
        <v>407</v>
      </c>
      <c r="B194" s="278" t="s">
        <v>1017</v>
      </c>
      <c r="C194" s="278" t="s">
        <v>1018</v>
      </c>
      <c r="D194" s="278" t="s">
        <v>1019</v>
      </c>
      <c r="E194" s="278" t="s">
        <v>461</v>
      </c>
      <c r="F194" s="279">
        <v>38</v>
      </c>
      <c r="G194" s="279">
        <v>5273.26</v>
      </c>
      <c r="H194" s="280">
        <f t="shared" si="2"/>
        <v>4468.8644067796613</v>
      </c>
    </row>
    <row r="195" spans="1:8" ht="15" customHeight="1" x14ac:dyDescent="0.25">
      <c r="A195" s="262">
        <v>409</v>
      </c>
      <c r="B195" s="278" t="s">
        <v>1020</v>
      </c>
      <c r="C195" s="278" t="s">
        <v>1021</v>
      </c>
      <c r="D195" s="278" t="s">
        <v>1022</v>
      </c>
      <c r="E195" s="278" t="s">
        <v>461</v>
      </c>
      <c r="F195" s="279">
        <v>5</v>
      </c>
      <c r="G195" s="279">
        <v>1065</v>
      </c>
      <c r="H195" s="280">
        <f t="shared" si="2"/>
        <v>902.54237288135596</v>
      </c>
    </row>
    <row r="196" spans="1:8" ht="15" customHeight="1" x14ac:dyDescent="0.25">
      <c r="A196" s="262">
        <v>411</v>
      </c>
      <c r="B196" s="278" t="s">
        <v>1023</v>
      </c>
      <c r="C196" s="278" t="s">
        <v>1024</v>
      </c>
      <c r="D196" s="278" t="s">
        <v>1025</v>
      </c>
      <c r="E196" s="278" t="s">
        <v>461</v>
      </c>
      <c r="F196" s="279">
        <v>14</v>
      </c>
      <c r="G196" s="279">
        <v>1113.78</v>
      </c>
      <c r="H196" s="280">
        <f t="shared" si="2"/>
        <v>943.88135593220341</v>
      </c>
    </row>
    <row r="197" spans="1:8" ht="15" customHeight="1" x14ac:dyDescent="0.25">
      <c r="A197" s="262">
        <v>413</v>
      </c>
      <c r="B197" s="278" t="s">
        <v>1026</v>
      </c>
      <c r="C197" s="278" t="s">
        <v>1027</v>
      </c>
      <c r="D197" s="278" t="s">
        <v>1028</v>
      </c>
      <c r="E197" s="278" t="s">
        <v>461</v>
      </c>
      <c r="F197" s="279">
        <v>7</v>
      </c>
      <c r="G197" s="279">
        <v>210</v>
      </c>
      <c r="H197" s="280">
        <f t="shared" si="2"/>
        <v>177.96610169491527</v>
      </c>
    </row>
    <row r="198" spans="1:8" ht="15" customHeight="1" x14ac:dyDescent="0.25">
      <c r="A198" s="262">
        <v>415</v>
      </c>
      <c r="B198" s="278" t="s">
        <v>1029</v>
      </c>
      <c r="C198" s="278" t="s">
        <v>1030</v>
      </c>
      <c r="D198" s="278" t="s">
        <v>1031</v>
      </c>
      <c r="E198" s="278" t="s">
        <v>461</v>
      </c>
      <c r="F198" s="279">
        <v>4</v>
      </c>
      <c r="G198" s="279">
        <v>441.76</v>
      </c>
      <c r="H198" s="280">
        <f t="shared" si="2"/>
        <v>374.37288135593224</v>
      </c>
    </row>
    <row r="199" spans="1:8" ht="15" customHeight="1" x14ac:dyDescent="0.25">
      <c r="A199" s="262">
        <v>417</v>
      </c>
      <c r="B199" s="278" t="s">
        <v>1032</v>
      </c>
      <c r="C199" s="278" t="s">
        <v>1033</v>
      </c>
      <c r="D199" s="278" t="s">
        <v>1034</v>
      </c>
      <c r="E199" s="278" t="s">
        <v>461</v>
      </c>
      <c r="F199" s="279">
        <v>1</v>
      </c>
      <c r="G199" s="279">
        <v>640</v>
      </c>
      <c r="H199" s="280">
        <f t="shared" ref="H199:H262" si="3">G199/1.18</f>
        <v>542.37288135593224</v>
      </c>
    </row>
    <row r="200" spans="1:8" ht="15" customHeight="1" x14ac:dyDescent="0.25">
      <c r="A200" s="262">
        <v>419</v>
      </c>
      <c r="B200" s="278" t="s">
        <v>1035</v>
      </c>
      <c r="C200" s="278" t="s">
        <v>1036</v>
      </c>
      <c r="D200" s="278" t="s">
        <v>1037</v>
      </c>
      <c r="E200" s="278" t="s">
        <v>461</v>
      </c>
      <c r="F200" s="279">
        <v>72</v>
      </c>
      <c r="G200" s="279">
        <v>8070.61</v>
      </c>
      <c r="H200" s="280">
        <f t="shared" si="3"/>
        <v>6839.5</v>
      </c>
    </row>
    <row r="201" spans="1:8" ht="15" customHeight="1" x14ac:dyDescent="0.25">
      <c r="A201" s="262">
        <v>421</v>
      </c>
      <c r="B201" s="278" t="s">
        <v>1038</v>
      </c>
      <c r="C201" s="278" t="s">
        <v>1039</v>
      </c>
      <c r="D201" s="278" t="s">
        <v>1040</v>
      </c>
      <c r="E201" s="278" t="s">
        <v>461</v>
      </c>
      <c r="F201" s="279">
        <v>4</v>
      </c>
      <c r="G201" s="279">
        <v>452.13</v>
      </c>
      <c r="H201" s="280">
        <f t="shared" si="3"/>
        <v>383.16101694915255</v>
      </c>
    </row>
    <row r="202" spans="1:8" ht="15" customHeight="1" x14ac:dyDescent="0.25">
      <c r="A202" s="262">
        <v>423</v>
      </c>
      <c r="B202" s="278" t="s">
        <v>1041</v>
      </c>
      <c r="C202" s="278" t="s">
        <v>1042</v>
      </c>
      <c r="D202" s="278" t="s">
        <v>1043</v>
      </c>
      <c r="E202" s="278" t="s">
        <v>461</v>
      </c>
      <c r="F202" s="279">
        <v>15</v>
      </c>
      <c r="G202" s="279">
        <v>1079.7</v>
      </c>
      <c r="H202" s="280">
        <f t="shared" si="3"/>
        <v>915.00000000000011</v>
      </c>
    </row>
    <row r="203" spans="1:8" ht="15" customHeight="1" x14ac:dyDescent="0.25">
      <c r="A203" s="262">
        <v>425</v>
      </c>
      <c r="B203" s="278" t="s">
        <v>1044</v>
      </c>
      <c r="C203" s="278" t="s">
        <v>1045</v>
      </c>
      <c r="D203" s="278" t="s">
        <v>1046</v>
      </c>
      <c r="E203" s="278" t="s">
        <v>461</v>
      </c>
      <c r="F203" s="279">
        <v>3</v>
      </c>
      <c r="G203" s="279">
        <v>6000</v>
      </c>
      <c r="H203" s="280">
        <f t="shared" si="3"/>
        <v>5084.7457627118647</v>
      </c>
    </row>
    <row r="204" spans="1:8" ht="15" customHeight="1" x14ac:dyDescent="0.25">
      <c r="A204" s="262">
        <v>427</v>
      </c>
      <c r="B204" s="278" t="s">
        <v>1047</v>
      </c>
      <c r="C204" s="278" t="s">
        <v>1048</v>
      </c>
      <c r="D204" s="278" t="s">
        <v>1049</v>
      </c>
      <c r="E204" s="278" t="s">
        <v>461</v>
      </c>
      <c r="F204" s="279">
        <v>6</v>
      </c>
      <c r="G204" s="279">
        <v>2028.78</v>
      </c>
      <c r="H204" s="280">
        <f t="shared" si="3"/>
        <v>1719.3050847457628</v>
      </c>
    </row>
    <row r="205" spans="1:8" ht="15" customHeight="1" x14ac:dyDescent="0.25">
      <c r="A205" s="262">
        <v>429</v>
      </c>
      <c r="B205" s="278" t="s">
        <v>1050</v>
      </c>
      <c r="C205" s="278" t="s">
        <v>1051</v>
      </c>
      <c r="D205" s="278" t="s">
        <v>1052</v>
      </c>
      <c r="E205" s="278" t="s">
        <v>461</v>
      </c>
      <c r="F205" s="279">
        <v>40</v>
      </c>
      <c r="G205" s="279">
        <v>5664</v>
      </c>
      <c r="H205" s="280">
        <f t="shared" si="3"/>
        <v>4800</v>
      </c>
    </row>
    <row r="206" spans="1:8" ht="15" customHeight="1" x14ac:dyDescent="0.25">
      <c r="A206" s="262">
        <v>431</v>
      </c>
      <c r="B206" s="278" t="s">
        <v>1053</v>
      </c>
      <c r="C206" s="278" t="s">
        <v>1054</v>
      </c>
      <c r="D206" s="278" t="s">
        <v>1055</v>
      </c>
      <c r="E206" s="278" t="s">
        <v>461</v>
      </c>
      <c r="F206" s="279">
        <v>7</v>
      </c>
      <c r="G206" s="279">
        <v>5425</v>
      </c>
      <c r="H206" s="280">
        <f t="shared" si="3"/>
        <v>4597.4576271186443</v>
      </c>
    </row>
    <row r="207" spans="1:8" ht="15" customHeight="1" x14ac:dyDescent="0.25">
      <c r="A207" s="262">
        <v>433</v>
      </c>
      <c r="B207" s="278" t="s">
        <v>1056</v>
      </c>
      <c r="C207" s="278" t="s">
        <v>1057</v>
      </c>
      <c r="D207" s="278" t="s">
        <v>1058</v>
      </c>
      <c r="E207" s="278" t="s">
        <v>461</v>
      </c>
      <c r="F207" s="279">
        <v>9</v>
      </c>
      <c r="G207" s="279">
        <v>10620</v>
      </c>
      <c r="H207" s="280">
        <f t="shared" si="3"/>
        <v>9000</v>
      </c>
    </row>
    <row r="208" spans="1:8" ht="15" customHeight="1" x14ac:dyDescent="0.25">
      <c r="A208" s="262">
        <v>435</v>
      </c>
      <c r="B208" s="278" t="s">
        <v>1059</v>
      </c>
      <c r="C208" s="278" t="s">
        <v>1060</v>
      </c>
      <c r="D208" s="278" t="s">
        <v>1061</v>
      </c>
      <c r="E208" s="278" t="s">
        <v>461</v>
      </c>
      <c r="F208" s="279">
        <v>29</v>
      </c>
      <c r="G208" s="279">
        <v>1539.9</v>
      </c>
      <c r="H208" s="280">
        <f t="shared" si="3"/>
        <v>1305.0000000000002</v>
      </c>
    </row>
    <row r="209" spans="1:8" ht="15" customHeight="1" x14ac:dyDescent="0.25">
      <c r="A209" s="262">
        <v>437</v>
      </c>
      <c r="B209" s="278" t="s">
        <v>1062</v>
      </c>
      <c r="C209" s="278" t="s">
        <v>1063</v>
      </c>
      <c r="D209" s="278" t="s">
        <v>1064</v>
      </c>
      <c r="E209" s="278" t="s">
        <v>461</v>
      </c>
      <c r="F209" s="279">
        <v>58</v>
      </c>
      <c r="G209" s="279">
        <v>5800</v>
      </c>
      <c r="H209" s="280">
        <f t="shared" si="3"/>
        <v>4915.2542372881362</v>
      </c>
    </row>
    <row r="210" spans="1:8" ht="15" customHeight="1" x14ac:dyDescent="0.25">
      <c r="A210" s="262">
        <v>439</v>
      </c>
      <c r="B210" s="278" t="s">
        <v>1065</v>
      </c>
      <c r="C210" s="278" t="s">
        <v>1066</v>
      </c>
      <c r="D210" s="278" t="s">
        <v>1067</v>
      </c>
      <c r="E210" s="278" t="s">
        <v>461</v>
      </c>
      <c r="F210" s="279">
        <v>12</v>
      </c>
      <c r="G210" s="279">
        <v>778.8</v>
      </c>
      <c r="H210" s="280">
        <f t="shared" si="3"/>
        <v>660</v>
      </c>
    </row>
    <row r="211" spans="1:8" ht="15" customHeight="1" x14ac:dyDescent="0.25">
      <c r="A211" s="262">
        <v>441</v>
      </c>
      <c r="B211" s="278" t="s">
        <v>1068</v>
      </c>
      <c r="C211" s="278" t="s">
        <v>1069</v>
      </c>
      <c r="D211" s="278" t="s">
        <v>1070</v>
      </c>
      <c r="E211" s="278" t="s">
        <v>461</v>
      </c>
      <c r="F211" s="279">
        <v>1</v>
      </c>
      <c r="G211" s="279">
        <v>700</v>
      </c>
      <c r="H211" s="280">
        <f t="shared" si="3"/>
        <v>593.22033898305085</v>
      </c>
    </row>
    <row r="212" spans="1:8" ht="15" customHeight="1" x14ac:dyDescent="0.25">
      <c r="A212" s="262">
        <v>443</v>
      </c>
      <c r="B212" s="278" t="s">
        <v>1071</v>
      </c>
      <c r="C212" s="278" t="s">
        <v>1072</v>
      </c>
      <c r="D212" s="278" t="s">
        <v>1073</v>
      </c>
      <c r="E212" s="278" t="s">
        <v>461</v>
      </c>
      <c r="F212" s="279">
        <v>5</v>
      </c>
      <c r="G212" s="279">
        <v>177</v>
      </c>
      <c r="H212" s="280">
        <f t="shared" si="3"/>
        <v>150</v>
      </c>
    </row>
    <row r="213" spans="1:8" ht="15" customHeight="1" x14ac:dyDescent="0.25">
      <c r="A213" s="262">
        <v>445</v>
      </c>
      <c r="B213" s="278" t="s">
        <v>1074</v>
      </c>
      <c r="C213" s="278" t="s">
        <v>1075</v>
      </c>
      <c r="D213" s="278" t="s">
        <v>1076</v>
      </c>
      <c r="E213" s="278" t="s">
        <v>461</v>
      </c>
      <c r="F213" s="279">
        <v>5</v>
      </c>
      <c r="G213" s="279">
        <v>295</v>
      </c>
      <c r="H213" s="280">
        <f t="shared" si="3"/>
        <v>250</v>
      </c>
    </row>
    <row r="214" spans="1:8" ht="15" customHeight="1" x14ac:dyDescent="0.25">
      <c r="A214" s="262">
        <v>447</v>
      </c>
      <c r="B214" s="278" t="s">
        <v>1077</v>
      </c>
      <c r="C214" s="278" t="s">
        <v>1078</v>
      </c>
      <c r="D214" s="278" t="s">
        <v>1079</v>
      </c>
      <c r="E214" s="278" t="s">
        <v>461</v>
      </c>
      <c r="F214" s="279">
        <v>7</v>
      </c>
      <c r="G214" s="279">
        <v>4088.7</v>
      </c>
      <c r="H214" s="280">
        <f t="shared" si="3"/>
        <v>3465</v>
      </c>
    </row>
    <row r="215" spans="1:8" ht="15" customHeight="1" x14ac:dyDescent="0.25">
      <c r="A215" s="262">
        <v>449</v>
      </c>
      <c r="B215" s="278" t="s">
        <v>1080</v>
      </c>
      <c r="C215" s="278" t="s">
        <v>1081</v>
      </c>
      <c r="D215" s="278" t="s">
        <v>1082</v>
      </c>
      <c r="E215" s="278" t="s">
        <v>461</v>
      </c>
      <c r="F215" s="279">
        <v>2500</v>
      </c>
      <c r="G215" s="279">
        <v>578937.5</v>
      </c>
      <c r="H215" s="280">
        <f t="shared" si="3"/>
        <v>490625</v>
      </c>
    </row>
    <row r="216" spans="1:8" ht="15" customHeight="1" x14ac:dyDescent="0.25">
      <c r="A216" s="262">
        <v>451</v>
      </c>
      <c r="B216" s="278" t="s">
        <v>1083</v>
      </c>
      <c r="C216" s="278" t="s">
        <v>1084</v>
      </c>
      <c r="D216" s="278" t="s">
        <v>1085</v>
      </c>
      <c r="E216" s="278" t="s">
        <v>461</v>
      </c>
      <c r="F216" s="279">
        <v>1</v>
      </c>
      <c r="G216" s="279">
        <v>73750</v>
      </c>
      <c r="H216" s="280">
        <f t="shared" si="3"/>
        <v>62500</v>
      </c>
    </row>
    <row r="217" spans="1:8" ht="15" customHeight="1" x14ac:dyDescent="0.25">
      <c r="A217" s="262">
        <v>469</v>
      </c>
      <c r="B217" s="278" t="s">
        <v>1086</v>
      </c>
      <c r="C217" s="278" t="s">
        <v>1087</v>
      </c>
      <c r="D217" s="278" t="s">
        <v>1088</v>
      </c>
      <c r="E217" s="278" t="s">
        <v>461</v>
      </c>
      <c r="F217" s="279">
        <v>1</v>
      </c>
      <c r="G217" s="279">
        <v>549.86</v>
      </c>
      <c r="H217" s="280">
        <f t="shared" si="3"/>
        <v>465.98305084745766</v>
      </c>
    </row>
    <row r="218" spans="1:8" ht="15" customHeight="1" x14ac:dyDescent="0.25">
      <c r="A218" s="262">
        <v>471</v>
      </c>
      <c r="B218" s="278" t="s">
        <v>1089</v>
      </c>
      <c r="C218" s="278" t="s">
        <v>1090</v>
      </c>
      <c r="D218" s="278" t="s">
        <v>1091</v>
      </c>
      <c r="E218" s="278" t="s">
        <v>461</v>
      </c>
      <c r="F218" s="279">
        <v>1</v>
      </c>
      <c r="G218" s="279">
        <v>13000</v>
      </c>
      <c r="H218" s="280">
        <f t="shared" si="3"/>
        <v>11016.949152542373</v>
      </c>
    </row>
    <row r="219" spans="1:8" ht="15" customHeight="1" x14ac:dyDescent="0.25">
      <c r="A219" s="262">
        <v>473</v>
      </c>
      <c r="B219" s="278" t="s">
        <v>1092</v>
      </c>
      <c r="C219" s="278" t="s">
        <v>1093</v>
      </c>
      <c r="D219" s="278" t="s">
        <v>1094</v>
      </c>
      <c r="E219" s="278" t="s">
        <v>461</v>
      </c>
      <c r="F219" s="279">
        <v>2</v>
      </c>
      <c r="G219" s="279">
        <v>847.46</v>
      </c>
      <c r="H219" s="280">
        <f t="shared" si="3"/>
        <v>718.18644067796617</v>
      </c>
    </row>
    <row r="220" spans="1:8" ht="15" customHeight="1" x14ac:dyDescent="0.25">
      <c r="A220" s="262">
        <v>475</v>
      </c>
      <c r="B220" s="278" t="s">
        <v>1095</v>
      </c>
      <c r="C220" s="278" t="s">
        <v>1096</v>
      </c>
      <c r="D220" s="278" t="s">
        <v>1097</v>
      </c>
      <c r="E220" s="278" t="s">
        <v>461</v>
      </c>
      <c r="F220" s="279">
        <v>6</v>
      </c>
      <c r="G220" s="279">
        <v>2498.94</v>
      </c>
      <c r="H220" s="280">
        <f t="shared" si="3"/>
        <v>2117.7457627118647</v>
      </c>
    </row>
    <row r="221" spans="1:8" ht="15" customHeight="1" x14ac:dyDescent="0.25">
      <c r="A221" s="262">
        <v>477</v>
      </c>
      <c r="B221" s="278" t="s">
        <v>1098</v>
      </c>
      <c r="C221" s="278" t="s">
        <v>1099</v>
      </c>
      <c r="D221" s="278" t="s">
        <v>1100</v>
      </c>
      <c r="E221" s="278" t="s">
        <v>461</v>
      </c>
      <c r="F221" s="279">
        <v>-1</v>
      </c>
      <c r="G221" s="279">
        <v>-850</v>
      </c>
      <c r="H221" s="280">
        <f t="shared" si="3"/>
        <v>-720.33898305084745</v>
      </c>
    </row>
    <row r="222" spans="1:8" ht="15" customHeight="1" x14ac:dyDescent="0.25">
      <c r="A222" s="262">
        <v>479</v>
      </c>
      <c r="B222" s="278" t="s">
        <v>1101</v>
      </c>
      <c r="C222" s="278" t="s">
        <v>1102</v>
      </c>
      <c r="D222" s="278" t="s">
        <v>1103</v>
      </c>
      <c r="E222" s="278" t="s">
        <v>461</v>
      </c>
      <c r="F222" s="279">
        <v>10</v>
      </c>
      <c r="G222" s="279">
        <v>4700</v>
      </c>
      <c r="H222" s="280">
        <f t="shared" si="3"/>
        <v>3983.0508474576272</v>
      </c>
    </row>
    <row r="223" spans="1:8" ht="15" customHeight="1" x14ac:dyDescent="0.25">
      <c r="A223" s="262">
        <v>481</v>
      </c>
      <c r="B223" s="278" t="s">
        <v>1104</v>
      </c>
      <c r="C223" s="278" t="s">
        <v>1105</v>
      </c>
      <c r="D223" s="278" t="s">
        <v>1106</v>
      </c>
      <c r="E223" s="278" t="s">
        <v>461</v>
      </c>
      <c r="F223" s="279">
        <v>27</v>
      </c>
      <c r="G223" s="279">
        <v>10773</v>
      </c>
      <c r="H223" s="280">
        <f t="shared" si="3"/>
        <v>9129.6610169491523</v>
      </c>
    </row>
    <row r="224" spans="1:8" ht="15" customHeight="1" x14ac:dyDescent="0.25">
      <c r="A224" s="262">
        <v>483</v>
      </c>
      <c r="B224" s="278" t="s">
        <v>1107</v>
      </c>
      <c r="C224" s="278" t="s">
        <v>1108</v>
      </c>
      <c r="D224" s="278" t="s">
        <v>1109</v>
      </c>
      <c r="E224" s="278" t="s">
        <v>461</v>
      </c>
      <c r="F224" s="279">
        <v>22</v>
      </c>
      <c r="G224" s="279">
        <v>26400</v>
      </c>
      <c r="H224" s="280">
        <f t="shared" si="3"/>
        <v>22372.881355932204</v>
      </c>
    </row>
    <row r="225" spans="1:8" ht="15" customHeight="1" x14ac:dyDescent="0.25">
      <c r="A225" s="262">
        <v>485</v>
      </c>
      <c r="B225" s="278" t="s">
        <v>1110</v>
      </c>
      <c r="C225" s="278" t="s">
        <v>1111</v>
      </c>
      <c r="D225" s="278" t="s">
        <v>1112</v>
      </c>
      <c r="E225" s="278" t="s">
        <v>461</v>
      </c>
      <c r="F225" s="279">
        <v>6</v>
      </c>
      <c r="G225" s="279">
        <v>30975</v>
      </c>
      <c r="H225" s="280">
        <f t="shared" si="3"/>
        <v>26250</v>
      </c>
    </row>
    <row r="226" spans="1:8" ht="15" customHeight="1" x14ac:dyDescent="0.25">
      <c r="A226" s="262">
        <v>487</v>
      </c>
      <c r="B226" s="278" t="s">
        <v>1113</v>
      </c>
      <c r="C226" s="278" t="s">
        <v>1114</v>
      </c>
      <c r="D226" s="278" t="s">
        <v>1115</v>
      </c>
      <c r="E226" s="278" t="s">
        <v>461</v>
      </c>
      <c r="F226" s="279">
        <v>4</v>
      </c>
      <c r="G226" s="279">
        <v>9000</v>
      </c>
      <c r="H226" s="280">
        <f t="shared" si="3"/>
        <v>7627.1186440677966</v>
      </c>
    </row>
    <row r="227" spans="1:8" ht="15" customHeight="1" x14ac:dyDescent="0.25">
      <c r="A227" s="262">
        <v>489</v>
      </c>
      <c r="B227" s="278" t="s">
        <v>1116</v>
      </c>
      <c r="C227" s="278" t="s">
        <v>1117</v>
      </c>
      <c r="D227" s="278" t="s">
        <v>1118</v>
      </c>
      <c r="E227" s="278" t="s">
        <v>461</v>
      </c>
      <c r="F227" s="279">
        <v>4</v>
      </c>
      <c r="G227" s="279">
        <v>4406.76</v>
      </c>
      <c r="H227" s="280">
        <f t="shared" si="3"/>
        <v>3734.5423728813562</v>
      </c>
    </row>
    <row r="228" spans="1:8" ht="15" customHeight="1" x14ac:dyDescent="0.25">
      <c r="A228" s="262">
        <v>491</v>
      </c>
      <c r="B228" s="278" t="s">
        <v>1119</v>
      </c>
      <c r="C228" s="278" t="s">
        <v>1120</v>
      </c>
      <c r="D228" s="278" t="s">
        <v>1121</v>
      </c>
      <c r="E228" s="278" t="s">
        <v>461</v>
      </c>
      <c r="F228" s="279">
        <v>7</v>
      </c>
      <c r="G228" s="279">
        <v>3099.81</v>
      </c>
      <c r="H228" s="280">
        <f t="shared" si="3"/>
        <v>2626.9576271186443</v>
      </c>
    </row>
    <row r="229" spans="1:8" ht="15" customHeight="1" x14ac:dyDescent="0.25">
      <c r="A229" s="262">
        <v>493</v>
      </c>
      <c r="B229" s="278" t="s">
        <v>1122</v>
      </c>
      <c r="C229" s="278" t="s">
        <v>1123</v>
      </c>
      <c r="D229" s="278" t="s">
        <v>1124</v>
      </c>
      <c r="E229" s="278" t="s">
        <v>461</v>
      </c>
      <c r="F229" s="279">
        <v>3</v>
      </c>
      <c r="G229" s="279">
        <v>17346</v>
      </c>
      <c r="H229" s="280">
        <f t="shared" si="3"/>
        <v>14700</v>
      </c>
    </row>
    <row r="230" spans="1:8" ht="15" customHeight="1" x14ac:dyDescent="0.25">
      <c r="A230" s="262">
        <v>495</v>
      </c>
      <c r="B230" s="278" t="s">
        <v>1125</v>
      </c>
      <c r="C230" s="278" t="s">
        <v>1126</v>
      </c>
      <c r="D230" s="278" t="s">
        <v>1127</v>
      </c>
      <c r="E230" s="278" t="s">
        <v>461</v>
      </c>
      <c r="F230" s="279">
        <v>14</v>
      </c>
      <c r="G230" s="279">
        <v>1260</v>
      </c>
      <c r="H230" s="280">
        <f t="shared" si="3"/>
        <v>1067.7966101694915</v>
      </c>
    </row>
    <row r="231" spans="1:8" ht="15" customHeight="1" x14ac:dyDescent="0.25">
      <c r="A231" s="262">
        <v>497</v>
      </c>
      <c r="B231" s="278" t="s">
        <v>1128</v>
      </c>
      <c r="C231" s="278" t="s">
        <v>1129</v>
      </c>
      <c r="D231" s="278" t="s">
        <v>1130</v>
      </c>
      <c r="E231" s="278" t="s">
        <v>461</v>
      </c>
      <c r="F231" s="279">
        <v>8</v>
      </c>
      <c r="G231" s="279">
        <v>2080</v>
      </c>
      <c r="H231" s="280">
        <f t="shared" si="3"/>
        <v>1762.7118644067798</v>
      </c>
    </row>
    <row r="232" spans="1:8" ht="15" customHeight="1" x14ac:dyDescent="0.25">
      <c r="A232" s="262">
        <v>499</v>
      </c>
      <c r="B232" s="278" t="s">
        <v>1131</v>
      </c>
      <c r="C232" s="278" t="s">
        <v>1132</v>
      </c>
      <c r="D232" s="278" t="s">
        <v>1133</v>
      </c>
      <c r="E232" s="278" t="s">
        <v>461</v>
      </c>
      <c r="F232" s="279">
        <v>27</v>
      </c>
      <c r="G232" s="279">
        <v>7425</v>
      </c>
      <c r="H232" s="280">
        <f t="shared" si="3"/>
        <v>6292.3728813559328</v>
      </c>
    </row>
    <row r="233" spans="1:8" ht="15" customHeight="1" x14ac:dyDescent="0.25">
      <c r="A233" s="262">
        <v>501</v>
      </c>
      <c r="B233" s="278" t="s">
        <v>1134</v>
      </c>
      <c r="C233" s="278" t="s">
        <v>1135</v>
      </c>
      <c r="D233" s="278" t="s">
        <v>1136</v>
      </c>
      <c r="E233" s="278" t="s">
        <v>461</v>
      </c>
      <c r="F233" s="279">
        <v>200</v>
      </c>
      <c r="G233" s="279">
        <v>47000</v>
      </c>
      <c r="H233" s="280">
        <f t="shared" si="3"/>
        <v>39830.508474576272</v>
      </c>
    </row>
    <row r="234" spans="1:8" ht="15" customHeight="1" x14ac:dyDescent="0.25">
      <c r="A234" s="262">
        <v>503</v>
      </c>
      <c r="B234" s="278" t="s">
        <v>1137</v>
      </c>
      <c r="C234" s="278" t="s">
        <v>1138</v>
      </c>
      <c r="D234" s="278" t="s">
        <v>1139</v>
      </c>
      <c r="E234" s="278" t="s">
        <v>461</v>
      </c>
      <c r="F234" s="279">
        <v>10</v>
      </c>
      <c r="G234" s="279">
        <v>64900</v>
      </c>
      <c r="H234" s="280">
        <f t="shared" si="3"/>
        <v>55000</v>
      </c>
    </row>
    <row r="235" spans="1:8" ht="15" customHeight="1" x14ac:dyDescent="0.25">
      <c r="A235" s="262">
        <v>505</v>
      </c>
      <c r="B235" s="278" t="s">
        <v>1140</v>
      </c>
      <c r="C235" s="278" t="s">
        <v>1141</v>
      </c>
      <c r="D235" s="278" t="s">
        <v>1142</v>
      </c>
      <c r="E235" s="278" t="s">
        <v>461</v>
      </c>
      <c r="F235" s="279">
        <v>10</v>
      </c>
      <c r="G235" s="279">
        <v>88500</v>
      </c>
      <c r="H235" s="280">
        <f t="shared" si="3"/>
        <v>75000</v>
      </c>
    </row>
    <row r="236" spans="1:8" ht="15" customHeight="1" x14ac:dyDescent="0.25">
      <c r="A236" s="262">
        <v>507</v>
      </c>
      <c r="B236" s="278" t="s">
        <v>1143</v>
      </c>
      <c r="C236" s="278" t="s">
        <v>1144</v>
      </c>
      <c r="D236" s="278" t="s">
        <v>1145</v>
      </c>
      <c r="E236" s="278" t="s">
        <v>461</v>
      </c>
      <c r="F236" s="279">
        <v>8</v>
      </c>
      <c r="G236" s="279">
        <v>86848</v>
      </c>
      <c r="H236" s="280">
        <f t="shared" si="3"/>
        <v>73600</v>
      </c>
    </row>
    <row r="237" spans="1:8" ht="15" customHeight="1" x14ac:dyDescent="0.25">
      <c r="A237" s="262">
        <v>509</v>
      </c>
      <c r="B237" s="278" t="s">
        <v>1146</v>
      </c>
      <c r="C237" s="278" t="s">
        <v>1147</v>
      </c>
      <c r="D237" s="278" t="s">
        <v>1148</v>
      </c>
      <c r="E237" s="278" t="s">
        <v>461</v>
      </c>
      <c r="F237" s="279">
        <v>5</v>
      </c>
      <c r="G237" s="279">
        <v>94400</v>
      </c>
      <c r="H237" s="280">
        <f t="shared" si="3"/>
        <v>80000</v>
      </c>
    </row>
    <row r="238" spans="1:8" ht="15" customHeight="1" x14ac:dyDescent="0.25">
      <c r="A238" s="262">
        <v>511</v>
      </c>
      <c r="B238" s="278" t="s">
        <v>1149</v>
      </c>
      <c r="C238" s="278" t="s">
        <v>1150</v>
      </c>
      <c r="D238" s="278" t="s">
        <v>1151</v>
      </c>
      <c r="E238" s="278" t="s">
        <v>461</v>
      </c>
      <c r="F238" s="279">
        <v>2</v>
      </c>
      <c r="G238" s="279">
        <v>66080</v>
      </c>
      <c r="H238" s="280">
        <f t="shared" si="3"/>
        <v>56000</v>
      </c>
    </row>
    <row r="239" spans="1:8" ht="15" customHeight="1" x14ac:dyDescent="0.25">
      <c r="A239" s="262">
        <v>513</v>
      </c>
      <c r="B239" s="278" t="s">
        <v>1152</v>
      </c>
      <c r="C239" s="278" t="s">
        <v>1153</v>
      </c>
      <c r="D239" s="278" t="s">
        <v>1154</v>
      </c>
      <c r="E239" s="278" t="s">
        <v>461</v>
      </c>
      <c r="F239" s="279">
        <v>2</v>
      </c>
      <c r="G239" s="279">
        <v>490880</v>
      </c>
      <c r="H239" s="280">
        <f t="shared" si="3"/>
        <v>416000</v>
      </c>
    </row>
    <row r="240" spans="1:8" ht="15" customHeight="1" x14ac:dyDescent="0.25">
      <c r="A240" s="262">
        <v>515</v>
      </c>
      <c r="B240" s="278" t="s">
        <v>1155</v>
      </c>
      <c r="C240" s="278" t="s">
        <v>1156</v>
      </c>
      <c r="D240" s="278" t="s">
        <v>1157</v>
      </c>
      <c r="E240" s="278" t="s">
        <v>461</v>
      </c>
      <c r="F240" s="279">
        <v>27</v>
      </c>
      <c r="G240" s="279">
        <v>89303.58</v>
      </c>
      <c r="H240" s="280">
        <f t="shared" si="3"/>
        <v>75681</v>
      </c>
    </row>
    <row r="241" spans="1:8" ht="15" customHeight="1" x14ac:dyDescent="0.25">
      <c r="A241" s="262">
        <v>517</v>
      </c>
      <c r="B241" s="278" t="s">
        <v>1158</v>
      </c>
      <c r="C241" s="278" t="s">
        <v>1159</v>
      </c>
      <c r="D241" s="278" t="s">
        <v>1160</v>
      </c>
      <c r="E241" s="278" t="s">
        <v>461</v>
      </c>
      <c r="F241" s="279">
        <v>147</v>
      </c>
      <c r="G241" s="279">
        <v>792328.85</v>
      </c>
      <c r="H241" s="280">
        <f t="shared" si="3"/>
        <v>671465.12711864407</v>
      </c>
    </row>
    <row r="242" spans="1:8" ht="15" customHeight="1" x14ac:dyDescent="0.25">
      <c r="A242" s="262">
        <v>519</v>
      </c>
      <c r="B242" s="278" t="s">
        <v>1161</v>
      </c>
      <c r="C242" s="278" t="s">
        <v>1162</v>
      </c>
      <c r="D242" s="278" t="s">
        <v>1163</v>
      </c>
      <c r="E242" s="278" t="s">
        <v>461</v>
      </c>
      <c r="F242" s="279">
        <v>8</v>
      </c>
      <c r="G242" s="279">
        <v>357058.16</v>
      </c>
      <c r="H242" s="280">
        <f t="shared" si="3"/>
        <v>302591.66101694916</v>
      </c>
    </row>
    <row r="243" spans="1:8" ht="15" customHeight="1" x14ac:dyDescent="0.25">
      <c r="A243" s="262">
        <v>521</v>
      </c>
      <c r="B243" s="278" t="s">
        <v>1164</v>
      </c>
      <c r="C243" s="278" t="s">
        <v>1165</v>
      </c>
      <c r="D243" s="278" t="s">
        <v>1166</v>
      </c>
      <c r="E243" s="278" t="s">
        <v>461</v>
      </c>
      <c r="F243" s="279">
        <v>3</v>
      </c>
      <c r="G243" s="279">
        <v>225201</v>
      </c>
      <c r="H243" s="280">
        <f t="shared" si="3"/>
        <v>190848.30508474578</v>
      </c>
    </row>
    <row r="244" spans="1:8" ht="15" customHeight="1" x14ac:dyDescent="0.25">
      <c r="A244" s="262">
        <v>523</v>
      </c>
      <c r="B244" s="278" t="s">
        <v>1167</v>
      </c>
      <c r="C244" s="278" t="s">
        <v>1168</v>
      </c>
      <c r="D244" s="278" t="s">
        <v>1169</v>
      </c>
      <c r="E244" s="278" t="s">
        <v>461</v>
      </c>
      <c r="F244" s="279">
        <v>8</v>
      </c>
      <c r="G244" s="279">
        <v>21268.32</v>
      </c>
      <c r="H244" s="280">
        <f t="shared" si="3"/>
        <v>18024</v>
      </c>
    </row>
    <row r="245" spans="1:8" ht="15" customHeight="1" x14ac:dyDescent="0.25">
      <c r="A245" s="262">
        <v>525</v>
      </c>
      <c r="B245" s="278" t="s">
        <v>1170</v>
      </c>
      <c r="C245" s="278" t="s">
        <v>1171</v>
      </c>
      <c r="D245" s="278" t="s">
        <v>1172</v>
      </c>
      <c r="E245" s="278" t="s">
        <v>461</v>
      </c>
      <c r="F245" s="279">
        <v>3</v>
      </c>
      <c r="G245" s="279">
        <v>58976.4</v>
      </c>
      <c r="H245" s="280">
        <f t="shared" si="3"/>
        <v>49980.000000000007</v>
      </c>
    </row>
    <row r="246" spans="1:8" ht="15" customHeight="1" x14ac:dyDescent="0.25">
      <c r="A246" s="262">
        <v>527</v>
      </c>
      <c r="B246" s="278" t="s">
        <v>1173</v>
      </c>
      <c r="C246" s="278" t="s">
        <v>1174</v>
      </c>
      <c r="D246" s="278" t="s">
        <v>1175</v>
      </c>
      <c r="E246" s="278" t="s">
        <v>461</v>
      </c>
      <c r="F246" s="279">
        <v>2</v>
      </c>
      <c r="G246" s="279">
        <v>4914</v>
      </c>
      <c r="H246" s="280">
        <f t="shared" si="3"/>
        <v>4164.406779661017</v>
      </c>
    </row>
    <row r="247" spans="1:8" ht="15" customHeight="1" x14ac:dyDescent="0.25">
      <c r="A247" s="262">
        <v>529</v>
      </c>
      <c r="B247" s="278" t="s">
        <v>1176</v>
      </c>
      <c r="C247" s="278" t="s">
        <v>1177</v>
      </c>
      <c r="D247" s="278" t="s">
        <v>1178</v>
      </c>
      <c r="E247" s="278" t="s">
        <v>461</v>
      </c>
      <c r="F247" s="279">
        <v>40</v>
      </c>
      <c r="G247" s="279">
        <v>198400</v>
      </c>
      <c r="H247" s="280">
        <f t="shared" si="3"/>
        <v>168135.59322033898</v>
      </c>
    </row>
    <row r="248" spans="1:8" ht="15" customHeight="1" x14ac:dyDescent="0.25">
      <c r="A248" s="262">
        <v>531</v>
      </c>
      <c r="B248" s="278" t="s">
        <v>1179</v>
      </c>
      <c r="C248" s="278" t="s">
        <v>1180</v>
      </c>
      <c r="D248" s="278" t="s">
        <v>1181</v>
      </c>
      <c r="E248" s="278" t="s">
        <v>461</v>
      </c>
      <c r="F248" s="279">
        <v>33</v>
      </c>
      <c r="G248" s="279">
        <v>1930.5</v>
      </c>
      <c r="H248" s="280">
        <f t="shared" si="3"/>
        <v>1636.0169491525426</v>
      </c>
    </row>
    <row r="249" spans="1:8" ht="15" customHeight="1" x14ac:dyDescent="0.25">
      <c r="A249" s="262">
        <v>533</v>
      </c>
      <c r="B249" s="278" t="s">
        <v>1182</v>
      </c>
      <c r="C249" s="278" t="s">
        <v>1183</v>
      </c>
      <c r="D249" s="278" t="s">
        <v>1184</v>
      </c>
      <c r="E249" s="278" t="s">
        <v>461</v>
      </c>
      <c r="F249" s="279">
        <v>1</v>
      </c>
      <c r="G249" s="279">
        <v>8500</v>
      </c>
      <c r="H249" s="280">
        <f t="shared" si="3"/>
        <v>7203.3898305084749</v>
      </c>
    </row>
    <row r="250" spans="1:8" ht="15" customHeight="1" x14ac:dyDescent="0.25">
      <c r="A250" s="262">
        <v>535</v>
      </c>
      <c r="B250" s="278" t="s">
        <v>1185</v>
      </c>
      <c r="C250" s="278" t="s">
        <v>1186</v>
      </c>
      <c r="D250" s="278" t="s">
        <v>1187</v>
      </c>
      <c r="E250" s="278" t="s">
        <v>461</v>
      </c>
      <c r="F250" s="279">
        <v>367</v>
      </c>
      <c r="G250" s="279">
        <v>3266.3</v>
      </c>
      <c r="H250" s="280">
        <f t="shared" si="3"/>
        <v>2768.0508474576272</v>
      </c>
    </row>
    <row r="251" spans="1:8" ht="15" customHeight="1" x14ac:dyDescent="0.25">
      <c r="A251" s="262">
        <v>537</v>
      </c>
      <c r="B251" s="278" t="s">
        <v>1188</v>
      </c>
      <c r="C251" s="278" t="s">
        <v>1189</v>
      </c>
      <c r="D251" s="278" t="s">
        <v>1190</v>
      </c>
      <c r="E251" s="278" t="s">
        <v>461</v>
      </c>
      <c r="F251" s="279">
        <v>27</v>
      </c>
      <c r="G251" s="279">
        <v>240.3</v>
      </c>
      <c r="H251" s="280">
        <f t="shared" si="3"/>
        <v>203.64406779661019</v>
      </c>
    </row>
    <row r="252" spans="1:8" ht="15" customHeight="1" x14ac:dyDescent="0.25">
      <c r="A252" s="262">
        <v>539</v>
      </c>
      <c r="B252" s="278" t="s">
        <v>1191</v>
      </c>
      <c r="C252" s="278" t="s">
        <v>1192</v>
      </c>
      <c r="D252" s="278" t="s">
        <v>1193</v>
      </c>
      <c r="E252" s="278" t="s">
        <v>461</v>
      </c>
      <c r="F252" s="279">
        <v>44</v>
      </c>
      <c r="G252" s="279">
        <v>391.6</v>
      </c>
      <c r="H252" s="280">
        <f t="shared" si="3"/>
        <v>331.86440677966107</v>
      </c>
    </row>
    <row r="253" spans="1:8" ht="15" customHeight="1" x14ac:dyDescent="0.25">
      <c r="A253" s="262">
        <v>541</v>
      </c>
      <c r="B253" s="278" t="s">
        <v>1194</v>
      </c>
      <c r="C253" s="278" t="s">
        <v>1195</v>
      </c>
      <c r="D253" s="278" t="s">
        <v>1196</v>
      </c>
      <c r="E253" s="278" t="s">
        <v>461</v>
      </c>
      <c r="F253" s="279">
        <v>3</v>
      </c>
      <c r="G253" s="279">
        <v>450</v>
      </c>
      <c r="H253" s="280">
        <f t="shared" si="3"/>
        <v>381.35593220338984</v>
      </c>
    </row>
    <row r="254" spans="1:8" ht="15" customHeight="1" x14ac:dyDescent="0.25">
      <c r="A254" s="262">
        <v>543</v>
      </c>
      <c r="B254" s="278" t="s">
        <v>1197</v>
      </c>
      <c r="C254" s="278" t="s">
        <v>1198</v>
      </c>
      <c r="D254" s="278" t="s">
        <v>1199</v>
      </c>
      <c r="E254" s="278" t="s">
        <v>461</v>
      </c>
      <c r="F254" s="279">
        <v>10</v>
      </c>
      <c r="G254" s="279">
        <v>750</v>
      </c>
      <c r="H254" s="280">
        <f t="shared" si="3"/>
        <v>635.59322033898309</v>
      </c>
    </row>
    <row r="255" spans="1:8" ht="15" customHeight="1" x14ac:dyDescent="0.25">
      <c r="A255" s="262">
        <v>545</v>
      </c>
      <c r="B255" s="278" t="s">
        <v>1200</v>
      </c>
      <c r="C255" s="278" t="s">
        <v>1201</v>
      </c>
      <c r="D255" s="278" t="s">
        <v>1202</v>
      </c>
      <c r="E255" s="278" t="s">
        <v>461</v>
      </c>
      <c r="F255" s="279">
        <v>7</v>
      </c>
      <c r="G255" s="279">
        <v>454.3</v>
      </c>
      <c r="H255" s="280">
        <f t="shared" si="3"/>
        <v>385.00000000000006</v>
      </c>
    </row>
    <row r="256" spans="1:8" ht="15" customHeight="1" x14ac:dyDescent="0.25">
      <c r="A256" s="262">
        <v>547</v>
      </c>
      <c r="B256" s="278" t="s">
        <v>1203</v>
      </c>
      <c r="C256" s="278" t="s">
        <v>1204</v>
      </c>
      <c r="D256" s="278" t="s">
        <v>1205</v>
      </c>
      <c r="E256" s="278" t="s">
        <v>461</v>
      </c>
      <c r="F256" s="279">
        <v>10</v>
      </c>
      <c r="G256" s="279">
        <v>2013</v>
      </c>
      <c r="H256" s="280">
        <f t="shared" si="3"/>
        <v>1705.9322033898306</v>
      </c>
    </row>
    <row r="257" spans="1:8" ht="15" customHeight="1" x14ac:dyDescent="0.25">
      <c r="A257" s="262">
        <v>549</v>
      </c>
      <c r="B257" s="278" t="s">
        <v>1206</v>
      </c>
      <c r="C257" s="278" t="s">
        <v>1207</v>
      </c>
      <c r="D257" s="278" t="s">
        <v>1208</v>
      </c>
      <c r="E257" s="278" t="s">
        <v>461</v>
      </c>
      <c r="F257" s="279">
        <v>10</v>
      </c>
      <c r="G257" s="279">
        <v>902.8</v>
      </c>
      <c r="H257" s="280">
        <f t="shared" si="3"/>
        <v>765.08474576271192</v>
      </c>
    </row>
    <row r="258" spans="1:8" ht="15" customHeight="1" x14ac:dyDescent="0.25">
      <c r="A258" s="262">
        <v>551</v>
      </c>
      <c r="B258" s="278" t="s">
        <v>1209</v>
      </c>
      <c r="C258" s="278" t="s">
        <v>1210</v>
      </c>
      <c r="D258" s="278" t="s">
        <v>1211</v>
      </c>
      <c r="E258" s="278" t="s">
        <v>461</v>
      </c>
      <c r="F258" s="279">
        <v>1</v>
      </c>
      <c r="G258" s="279">
        <v>680.86</v>
      </c>
      <c r="H258" s="280">
        <f t="shared" si="3"/>
        <v>577</v>
      </c>
    </row>
    <row r="259" spans="1:8" ht="15" customHeight="1" x14ac:dyDescent="0.25">
      <c r="A259" s="262">
        <v>553</v>
      </c>
      <c r="B259" s="278" t="s">
        <v>1212</v>
      </c>
      <c r="C259" s="278" t="s">
        <v>1213</v>
      </c>
      <c r="D259" s="278" t="s">
        <v>1214</v>
      </c>
      <c r="E259" s="278" t="s">
        <v>461</v>
      </c>
      <c r="F259" s="279">
        <v>10</v>
      </c>
      <c r="G259" s="279">
        <v>896.8</v>
      </c>
      <c r="H259" s="280">
        <f t="shared" si="3"/>
        <v>760</v>
      </c>
    </row>
    <row r="260" spans="1:8" ht="15" customHeight="1" x14ac:dyDescent="0.25">
      <c r="A260" s="262">
        <v>555</v>
      </c>
      <c r="B260" s="278" t="s">
        <v>1215</v>
      </c>
      <c r="C260" s="278" t="s">
        <v>1216</v>
      </c>
      <c r="D260" s="278" t="s">
        <v>1217</v>
      </c>
      <c r="E260" s="278" t="s">
        <v>461</v>
      </c>
      <c r="F260" s="279">
        <v>8</v>
      </c>
      <c r="G260" s="279">
        <v>4704</v>
      </c>
      <c r="H260" s="280">
        <f t="shared" si="3"/>
        <v>3986.4406779661017</v>
      </c>
    </row>
    <row r="261" spans="1:8" ht="15" customHeight="1" x14ac:dyDescent="0.25">
      <c r="A261" s="262">
        <v>557</v>
      </c>
      <c r="B261" s="278" t="s">
        <v>1218</v>
      </c>
      <c r="C261" s="278" t="s">
        <v>1219</v>
      </c>
      <c r="D261" s="278" t="s">
        <v>1220</v>
      </c>
      <c r="E261" s="278" t="s">
        <v>461</v>
      </c>
      <c r="F261" s="279">
        <v>5</v>
      </c>
      <c r="G261" s="279">
        <v>25000</v>
      </c>
      <c r="H261" s="280">
        <f t="shared" si="3"/>
        <v>21186.440677966104</v>
      </c>
    </row>
    <row r="262" spans="1:8" ht="15" customHeight="1" x14ac:dyDescent="0.25">
      <c r="A262" s="262">
        <v>559</v>
      </c>
      <c r="B262" s="278" t="s">
        <v>1221</v>
      </c>
      <c r="C262" s="278" t="s">
        <v>1222</v>
      </c>
      <c r="D262" s="278" t="s">
        <v>1223</v>
      </c>
      <c r="E262" s="278" t="s">
        <v>461</v>
      </c>
      <c r="F262" s="279">
        <v>4</v>
      </c>
      <c r="G262" s="279">
        <v>49088</v>
      </c>
      <c r="H262" s="280">
        <f t="shared" si="3"/>
        <v>41600</v>
      </c>
    </row>
    <row r="263" spans="1:8" ht="15" customHeight="1" x14ac:dyDescent="0.25">
      <c r="A263" s="262">
        <v>561</v>
      </c>
      <c r="B263" s="278" t="s">
        <v>1224</v>
      </c>
      <c r="C263" s="278" t="s">
        <v>1225</v>
      </c>
      <c r="D263" s="278" t="s">
        <v>1226</v>
      </c>
      <c r="E263" s="278" t="s">
        <v>461</v>
      </c>
      <c r="F263" s="279">
        <v>10</v>
      </c>
      <c r="G263" s="279">
        <v>23836</v>
      </c>
      <c r="H263" s="280">
        <f t="shared" ref="H263:H326" si="4">G263/1.18</f>
        <v>20200</v>
      </c>
    </row>
    <row r="264" spans="1:8" ht="15" customHeight="1" x14ac:dyDescent="0.25">
      <c r="A264" s="262">
        <v>563</v>
      </c>
      <c r="B264" s="278" t="s">
        <v>1227</v>
      </c>
      <c r="C264" s="278" t="s">
        <v>1228</v>
      </c>
      <c r="D264" s="278" t="s">
        <v>1229</v>
      </c>
      <c r="E264" s="278" t="s">
        <v>461</v>
      </c>
      <c r="F264" s="279">
        <v>2</v>
      </c>
      <c r="G264" s="279">
        <v>1350</v>
      </c>
      <c r="H264" s="280">
        <f t="shared" si="4"/>
        <v>1144.0677966101696</v>
      </c>
    </row>
    <row r="265" spans="1:8" ht="15" customHeight="1" x14ac:dyDescent="0.25">
      <c r="A265" s="262">
        <v>565</v>
      </c>
      <c r="B265" s="278" t="s">
        <v>1230</v>
      </c>
      <c r="C265" s="278" t="s">
        <v>1231</v>
      </c>
      <c r="D265" s="278" t="s">
        <v>1232</v>
      </c>
      <c r="E265" s="278" t="s">
        <v>461</v>
      </c>
      <c r="F265" s="279">
        <v>6</v>
      </c>
      <c r="G265" s="279">
        <v>5084.76</v>
      </c>
      <c r="H265" s="280">
        <f t="shared" si="4"/>
        <v>4309.1186440677966</v>
      </c>
    </row>
    <row r="266" spans="1:8" ht="15" customHeight="1" x14ac:dyDescent="0.25">
      <c r="A266" s="262">
        <v>567</v>
      </c>
      <c r="B266" s="278" t="s">
        <v>1233</v>
      </c>
      <c r="C266" s="278" t="s">
        <v>1234</v>
      </c>
      <c r="D266" s="278" t="s">
        <v>1235</v>
      </c>
      <c r="E266" s="278" t="s">
        <v>461</v>
      </c>
      <c r="F266" s="279">
        <v>5</v>
      </c>
      <c r="G266" s="279">
        <v>7080</v>
      </c>
      <c r="H266" s="280">
        <f t="shared" si="4"/>
        <v>6000</v>
      </c>
    </row>
    <row r="267" spans="1:8" ht="15" customHeight="1" x14ac:dyDescent="0.25">
      <c r="A267" s="262">
        <v>569</v>
      </c>
      <c r="B267" s="278" t="s">
        <v>1236</v>
      </c>
      <c r="C267" s="278" t="s">
        <v>1237</v>
      </c>
      <c r="D267" s="278" t="s">
        <v>1238</v>
      </c>
      <c r="E267" s="278" t="s">
        <v>461</v>
      </c>
      <c r="F267" s="279">
        <v>4</v>
      </c>
      <c r="G267" s="279">
        <v>423.72</v>
      </c>
      <c r="H267" s="280">
        <f t="shared" si="4"/>
        <v>359.08474576271192</v>
      </c>
    </row>
    <row r="268" spans="1:8" ht="15" customHeight="1" x14ac:dyDescent="0.25">
      <c r="A268" s="262">
        <v>571</v>
      </c>
      <c r="B268" s="278" t="s">
        <v>1239</v>
      </c>
      <c r="C268" s="278" t="s">
        <v>1240</v>
      </c>
      <c r="D268" s="278" t="s">
        <v>1241</v>
      </c>
      <c r="E268" s="278" t="s">
        <v>461</v>
      </c>
      <c r="F268" s="279">
        <v>2</v>
      </c>
      <c r="G268" s="279">
        <v>593.82000000000005</v>
      </c>
      <c r="H268" s="280">
        <f t="shared" si="4"/>
        <v>503.2372881355933</v>
      </c>
    </row>
    <row r="269" spans="1:8" ht="15" customHeight="1" x14ac:dyDescent="0.25">
      <c r="A269" s="262">
        <v>573</v>
      </c>
      <c r="B269" s="278" t="s">
        <v>1242</v>
      </c>
      <c r="C269" s="278" t="s">
        <v>1243</v>
      </c>
      <c r="D269" s="278" t="s">
        <v>1244</v>
      </c>
      <c r="E269" s="278" t="s">
        <v>461</v>
      </c>
      <c r="F269" s="279">
        <v>25</v>
      </c>
      <c r="G269" s="279">
        <v>3374.8</v>
      </c>
      <c r="H269" s="280">
        <f t="shared" si="4"/>
        <v>2860.0000000000005</v>
      </c>
    </row>
    <row r="270" spans="1:8" ht="15" customHeight="1" x14ac:dyDescent="0.25">
      <c r="A270" s="262">
        <v>575</v>
      </c>
      <c r="B270" s="278" t="s">
        <v>1245</v>
      </c>
      <c r="C270" s="278" t="s">
        <v>1246</v>
      </c>
      <c r="D270" s="278" t="s">
        <v>1247</v>
      </c>
      <c r="E270" s="278" t="s">
        <v>461</v>
      </c>
      <c r="F270" s="279">
        <v>15</v>
      </c>
      <c r="G270" s="279">
        <v>105</v>
      </c>
      <c r="H270" s="280">
        <f t="shared" si="4"/>
        <v>88.983050847457633</v>
      </c>
    </row>
    <row r="271" spans="1:8" ht="15" customHeight="1" x14ac:dyDescent="0.25">
      <c r="A271" s="262">
        <v>577</v>
      </c>
      <c r="B271" s="278" t="s">
        <v>1248</v>
      </c>
      <c r="C271" s="278" t="s">
        <v>1249</v>
      </c>
      <c r="D271" s="278" t="s">
        <v>1250</v>
      </c>
      <c r="E271" s="278" t="s">
        <v>461</v>
      </c>
      <c r="F271" s="279">
        <v>151</v>
      </c>
      <c r="G271" s="279">
        <v>785.77</v>
      </c>
      <c r="H271" s="280">
        <f t="shared" si="4"/>
        <v>665.90677966101691</v>
      </c>
    </row>
    <row r="272" spans="1:8" ht="15" customHeight="1" x14ac:dyDescent="0.25">
      <c r="A272" s="262">
        <v>579</v>
      </c>
      <c r="B272" s="278" t="s">
        <v>1251</v>
      </c>
      <c r="C272" s="278" t="s">
        <v>1252</v>
      </c>
      <c r="D272" s="278" t="s">
        <v>1253</v>
      </c>
      <c r="E272" s="278" t="s">
        <v>461</v>
      </c>
      <c r="F272" s="279">
        <v>71</v>
      </c>
      <c r="G272" s="279">
        <v>5481.91</v>
      </c>
      <c r="H272" s="280">
        <f t="shared" si="4"/>
        <v>4645.6864406779659</v>
      </c>
    </row>
    <row r="273" spans="1:11" ht="15" customHeight="1" x14ac:dyDescent="0.25">
      <c r="A273" s="262">
        <v>581</v>
      </c>
      <c r="B273" s="278" t="s">
        <v>1254</v>
      </c>
      <c r="C273" s="278" t="s">
        <v>1255</v>
      </c>
      <c r="D273" s="278" t="s">
        <v>1256</v>
      </c>
      <c r="E273" s="278" t="s">
        <v>461</v>
      </c>
      <c r="F273" s="279">
        <v>120</v>
      </c>
      <c r="G273" s="279">
        <v>7200</v>
      </c>
      <c r="H273" s="280">
        <f t="shared" si="4"/>
        <v>6101.6949152542375</v>
      </c>
    </row>
    <row r="274" spans="1:11" ht="15" customHeight="1" x14ac:dyDescent="0.25">
      <c r="A274" s="262">
        <v>583</v>
      </c>
      <c r="B274" s="278" t="s">
        <v>1257</v>
      </c>
      <c r="C274" s="278" t="s">
        <v>1258</v>
      </c>
      <c r="D274" s="278" t="s">
        <v>1259</v>
      </c>
      <c r="E274" s="278" t="s">
        <v>461</v>
      </c>
      <c r="F274" s="279">
        <v>10</v>
      </c>
      <c r="G274" s="279">
        <v>2500</v>
      </c>
      <c r="H274" s="280">
        <f t="shared" si="4"/>
        <v>2118.6440677966102</v>
      </c>
    </row>
    <row r="275" spans="1:11" ht="15" customHeight="1" x14ac:dyDescent="0.25">
      <c r="A275" s="262">
        <v>585</v>
      </c>
      <c r="B275" s="278" t="s">
        <v>1260</v>
      </c>
      <c r="C275" s="278" t="s">
        <v>1261</v>
      </c>
      <c r="D275" s="278" t="s">
        <v>1262</v>
      </c>
      <c r="E275" s="278" t="s">
        <v>461</v>
      </c>
      <c r="F275" s="279">
        <v>41</v>
      </c>
      <c r="G275" s="279">
        <v>369</v>
      </c>
      <c r="H275" s="280">
        <f t="shared" si="4"/>
        <v>312.71186440677968</v>
      </c>
    </row>
    <row r="276" spans="1:11" ht="15" customHeight="1" x14ac:dyDescent="0.25">
      <c r="A276" s="262">
        <v>587</v>
      </c>
      <c r="B276" s="278" t="s">
        <v>1263</v>
      </c>
      <c r="C276" s="278" t="s">
        <v>1264</v>
      </c>
      <c r="D276" s="278" t="s">
        <v>1265</v>
      </c>
      <c r="E276" s="278" t="s">
        <v>461</v>
      </c>
      <c r="F276" s="279">
        <v>60</v>
      </c>
      <c r="G276" s="279">
        <v>6726</v>
      </c>
      <c r="H276" s="280">
        <f t="shared" si="4"/>
        <v>5700</v>
      </c>
    </row>
    <row r="277" spans="1:11" ht="15" customHeight="1" x14ac:dyDescent="0.25">
      <c r="A277" s="262">
        <v>589</v>
      </c>
      <c r="B277" s="278" t="s">
        <v>1266</v>
      </c>
      <c r="C277" s="278" t="s">
        <v>1267</v>
      </c>
      <c r="D277" s="278" t="s">
        <v>1268</v>
      </c>
      <c r="E277" s="278" t="s">
        <v>461</v>
      </c>
      <c r="F277" s="279">
        <v>26</v>
      </c>
      <c r="G277" s="279">
        <v>7976.8</v>
      </c>
      <c r="H277" s="280">
        <f t="shared" si="4"/>
        <v>6760.0000000000009</v>
      </c>
    </row>
    <row r="278" spans="1:11" ht="15" customHeight="1" x14ac:dyDescent="0.25">
      <c r="A278" s="262">
        <v>591</v>
      </c>
      <c r="B278" s="278" t="s">
        <v>1269</v>
      </c>
      <c r="C278" s="278" t="s">
        <v>1270</v>
      </c>
      <c r="D278" s="278" t="s">
        <v>1271</v>
      </c>
      <c r="E278" s="278" t="s">
        <v>461</v>
      </c>
      <c r="F278" s="279">
        <v>1</v>
      </c>
      <c r="G278" s="279">
        <v>600</v>
      </c>
      <c r="H278" s="280">
        <f t="shared" si="4"/>
        <v>508.47457627118649</v>
      </c>
    </row>
    <row r="279" spans="1:11" ht="15" customHeight="1" x14ac:dyDescent="0.25">
      <c r="A279" s="262">
        <v>593</v>
      </c>
      <c r="B279" s="278" t="s">
        <v>1272</v>
      </c>
      <c r="C279" s="278" t="s">
        <v>1273</v>
      </c>
      <c r="D279" s="278" t="s">
        <v>1274</v>
      </c>
      <c r="E279" s="278" t="s">
        <v>461</v>
      </c>
      <c r="F279" s="279">
        <v>24</v>
      </c>
      <c r="G279" s="279">
        <v>2407.1999999999998</v>
      </c>
      <c r="H279" s="280">
        <f t="shared" si="4"/>
        <v>2040</v>
      </c>
    </row>
    <row r="280" spans="1:11" ht="15" customHeight="1" x14ac:dyDescent="0.25">
      <c r="A280" s="262">
        <v>595</v>
      </c>
      <c r="B280" s="278" t="s">
        <v>1275</v>
      </c>
      <c r="C280" s="278" t="s">
        <v>1276</v>
      </c>
      <c r="D280" s="278" t="s">
        <v>1277</v>
      </c>
      <c r="E280" s="278" t="s">
        <v>461</v>
      </c>
      <c r="F280" s="279">
        <v>4</v>
      </c>
      <c r="G280" s="279">
        <v>556.6</v>
      </c>
      <c r="H280" s="280">
        <f t="shared" si="4"/>
        <v>471.69491525423734</v>
      </c>
    </row>
    <row r="281" spans="1:11" ht="15" customHeight="1" x14ac:dyDescent="0.25">
      <c r="A281" s="262">
        <v>597</v>
      </c>
      <c r="B281" s="278" t="s">
        <v>1278</v>
      </c>
      <c r="C281" s="278" t="s">
        <v>1279</v>
      </c>
      <c r="D281" s="278" t="s">
        <v>1280</v>
      </c>
      <c r="E281" s="278" t="s">
        <v>461</v>
      </c>
      <c r="F281" s="279">
        <v>19</v>
      </c>
      <c r="G281" s="279">
        <v>665</v>
      </c>
      <c r="H281" s="280">
        <f t="shared" si="4"/>
        <v>563.5593220338983</v>
      </c>
    </row>
    <row r="282" spans="1:11" ht="15" customHeight="1" x14ac:dyDescent="0.25">
      <c r="A282" s="262">
        <v>599</v>
      </c>
      <c r="B282" s="278" t="s">
        <v>1281</v>
      </c>
      <c r="C282" s="278" t="s">
        <v>1282</v>
      </c>
      <c r="D282" s="278" t="s">
        <v>1283</v>
      </c>
      <c r="E282" s="278" t="s">
        <v>461</v>
      </c>
      <c r="F282" s="279">
        <v>8</v>
      </c>
      <c r="G282" s="279">
        <v>4000</v>
      </c>
      <c r="H282" s="280">
        <f t="shared" si="4"/>
        <v>3389.8305084745766</v>
      </c>
    </row>
    <row r="283" spans="1:11" ht="15" customHeight="1" x14ac:dyDescent="0.25">
      <c r="A283" s="262">
        <v>601</v>
      </c>
      <c r="B283" s="278" t="s">
        <v>1284</v>
      </c>
      <c r="C283" s="278" t="s">
        <v>1285</v>
      </c>
      <c r="D283" s="278" t="s">
        <v>1286</v>
      </c>
      <c r="E283" s="278" t="s">
        <v>461</v>
      </c>
      <c r="F283" s="279">
        <v>7</v>
      </c>
      <c r="G283" s="279">
        <v>5079.8999999999996</v>
      </c>
      <c r="H283" s="280">
        <f t="shared" si="4"/>
        <v>4305</v>
      </c>
    </row>
    <row r="284" spans="1:11" ht="15" customHeight="1" x14ac:dyDescent="0.25">
      <c r="A284" s="262">
        <v>603</v>
      </c>
      <c r="B284" s="278" t="s">
        <v>1287</v>
      </c>
      <c r="C284" s="278" t="s">
        <v>1288</v>
      </c>
      <c r="D284" s="278" t="s">
        <v>1289</v>
      </c>
      <c r="E284" s="278" t="s">
        <v>461</v>
      </c>
      <c r="F284" s="279">
        <v>6</v>
      </c>
      <c r="G284" s="279">
        <v>1278</v>
      </c>
      <c r="H284" s="280">
        <f t="shared" si="4"/>
        <v>1083.0508474576272</v>
      </c>
    </row>
    <row r="285" spans="1:11" ht="15" customHeight="1" x14ac:dyDescent="0.25">
      <c r="A285" s="262">
        <v>605</v>
      </c>
      <c r="B285" s="278" t="s">
        <v>1290</v>
      </c>
      <c r="C285" s="278" t="s">
        <v>1291</v>
      </c>
      <c r="D285" s="278" t="s">
        <v>1292</v>
      </c>
      <c r="E285" s="278" t="s">
        <v>461</v>
      </c>
      <c r="F285" s="279">
        <v>535</v>
      </c>
      <c r="G285" s="279">
        <v>24075</v>
      </c>
      <c r="H285" s="280">
        <f t="shared" si="4"/>
        <v>20402.542372881358</v>
      </c>
    </row>
    <row r="286" spans="1:11" ht="15" customHeight="1" x14ac:dyDescent="0.25">
      <c r="A286" s="262">
        <v>607</v>
      </c>
      <c r="B286" s="278" t="s">
        <v>1293</v>
      </c>
      <c r="C286" s="278" t="s">
        <v>1294</v>
      </c>
      <c r="D286" s="278" t="s">
        <v>1295</v>
      </c>
      <c r="E286" s="278" t="s">
        <v>461</v>
      </c>
      <c r="F286" s="279">
        <v>8</v>
      </c>
      <c r="G286" s="279">
        <v>1320</v>
      </c>
      <c r="H286" s="280">
        <f t="shared" si="4"/>
        <v>1118.6440677966102</v>
      </c>
    </row>
    <row r="287" spans="1:11" ht="15" customHeight="1" x14ac:dyDescent="0.25">
      <c r="A287" s="262">
        <v>625</v>
      </c>
      <c r="B287" s="278" t="s">
        <v>1296</v>
      </c>
      <c r="C287" s="278" t="s">
        <v>1297</v>
      </c>
      <c r="D287" s="278" t="s">
        <v>1298</v>
      </c>
      <c r="E287" s="278" t="s">
        <v>461</v>
      </c>
      <c r="F287" s="279">
        <v>19</v>
      </c>
      <c r="G287" s="279">
        <v>20895.439999999999</v>
      </c>
      <c r="H287" s="280">
        <f t="shared" si="4"/>
        <v>17708</v>
      </c>
      <c r="K287" s="262" t="s">
        <v>453</v>
      </c>
    </row>
    <row r="288" spans="1:11" ht="15" customHeight="1" x14ac:dyDescent="0.25">
      <c r="A288" s="262">
        <v>627</v>
      </c>
      <c r="B288" s="278" t="s">
        <v>1299</v>
      </c>
      <c r="C288" s="278" t="s">
        <v>1300</v>
      </c>
      <c r="D288" s="278" t="s">
        <v>1301</v>
      </c>
      <c r="E288" s="278" t="s">
        <v>461</v>
      </c>
      <c r="F288" s="279">
        <v>13</v>
      </c>
      <c r="G288" s="279">
        <v>2964</v>
      </c>
      <c r="H288" s="280">
        <f t="shared" si="4"/>
        <v>2511.8644067796613</v>
      </c>
    </row>
    <row r="289" spans="1:8" ht="15" customHeight="1" x14ac:dyDescent="0.25">
      <c r="A289" s="262">
        <v>629</v>
      </c>
      <c r="B289" s="278" t="s">
        <v>1302</v>
      </c>
      <c r="C289" s="278" t="s">
        <v>1303</v>
      </c>
      <c r="D289" s="278" t="s">
        <v>1304</v>
      </c>
      <c r="E289" s="278" t="s">
        <v>461</v>
      </c>
      <c r="F289" s="279">
        <v>4</v>
      </c>
      <c r="G289" s="279">
        <v>480</v>
      </c>
      <c r="H289" s="280">
        <f t="shared" si="4"/>
        <v>406.77966101694915</v>
      </c>
    </row>
    <row r="290" spans="1:8" ht="15" customHeight="1" x14ac:dyDescent="0.25">
      <c r="A290" s="262">
        <v>631</v>
      </c>
      <c r="B290" s="278" t="s">
        <v>1305</v>
      </c>
      <c r="C290" s="278" t="s">
        <v>1306</v>
      </c>
      <c r="D290" s="278" t="s">
        <v>1307</v>
      </c>
      <c r="E290" s="278" t="s">
        <v>461</v>
      </c>
      <c r="F290" s="279">
        <v>15</v>
      </c>
      <c r="G290" s="279">
        <v>1694.4</v>
      </c>
      <c r="H290" s="280">
        <f t="shared" si="4"/>
        <v>1435.9322033898306</v>
      </c>
    </row>
    <row r="291" spans="1:8" ht="15" customHeight="1" x14ac:dyDescent="0.25">
      <c r="A291" s="262">
        <v>633</v>
      </c>
      <c r="B291" s="278" t="s">
        <v>1308</v>
      </c>
      <c r="C291" s="278" t="s">
        <v>1309</v>
      </c>
      <c r="D291" s="278" t="s">
        <v>1310</v>
      </c>
      <c r="E291" s="278" t="s">
        <v>461</v>
      </c>
      <c r="F291" s="279">
        <v>12</v>
      </c>
      <c r="G291" s="279">
        <v>9912</v>
      </c>
      <c r="H291" s="280">
        <f t="shared" si="4"/>
        <v>8400</v>
      </c>
    </row>
    <row r="292" spans="1:8" ht="15" customHeight="1" x14ac:dyDescent="0.25">
      <c r="A292" s="262">
        <v>635</v>
      </c>
      <c r="B292" s="278" t="s">
        <v>1311</v>
      </c>
      <c r="C292" s="278" t="s">
        <v>1312</v>
      </c>
      <c r="D292" s="278" t="s">
        <v>1313</v>
      </c>
      <c r="E292" s="278" t="s">
        <v>461</v>
      </c>
      <c r="F292" s="279">
        <v>12</v>
      </c>
      <c r="G292" s="279">
        <v>4067.76</v>
      </c>
      <c r="H292" s="280">
        <f t="shared" si="4"/>
        <v>3447.2542372881358</v>
      </c>
    </row>
    <row r="293" spans="1:8" ht="15" customHeight="1" x14ac:dyDescent="0.25">
      <c r="A293" s="262">
        <v>637</v>
      </c>
      <c r="B293" s="278" t="s">
        <v>1314</v>
      </c>
      <c r="C293" s="278" t="s">
        <v>1315</v>
      </c>
      <c r="D293" s="278" t="s">
        <v>1316</v>
      </c>
      <c r="E293" s="278" t="s">
        <v>461</v>
      </c>
      <c r="F293" s="279">
        <v>5</v>
      </c>
      <c r="G293" s="279">
        <v>5175</v>
      </c>
      <c r="H293" s="280">
        <f t="shared" si="4"/>
        <v>4385.593220338983</v>
      </c>
    </row>
    <row r="294" spans="1:8" ht="15" customHeight="1" x14ac:dyDescent="0.25">
      <c r="A294" s="262">
        <v>639</v>
      </c>
      <c r="B294" s="278" t="s">
        <v>1317</v>
      </c>
      <c r="C294" s="278" t="s">
        <v>1318</v>
      </c>
      <c r="D294" s="278" t="s">
        <v>1319</v>
      </c>
      <c r="E294" s="278" t="s">
        <v>461</v>
      </c>
      <c r="F294" s="279">
        <v>1</v>
      </c>
      <c r="G294" s="279">
        <v>260</v>
      </c>
      <c r="H294" s="280">
        <f t="shared" si="4"/>
        <v>220.33898305084747</v>
      </c>
    </row>
    <row r="295" spans="1:8" ht="15" customHeight="1" x14ac:dyDescent="0.25">
      <c r="A295" s="262">
        <v>641</v>
      </c>
      <c r="B295" s="278" t="s">
        <v>1320</v>
      </c>
      <c r="C295" s="278" t="s">
        <v>1321</v>
      </c>
      <c r="D295" s="278" t="s">
        <v>1322</v>
      </c>
      <c r="E295" s="278" t="s">
        <v>461</v>
      </c>
      <c r="F295" s="279">
        <v>10</v>
      </c>
      <c r="G295" s="279">
        <v>950</v>
      </c>
      <c r="H295" s="280">
        <f t="shared" si="4"/>
        <v>805.08474576271192</v>
      </c>
    </row>
    <row r="296" spans="1:8" ht="15" customHeight="1" x14ac:dyDescent="0.25">
      <c r="A296" s="262">
        <v>643</v>
      </c>
      <c r="B296" s="278" t="s">
        <v>1323</v>
      </c>
      <c r="C296" s="278" t="s">
        <v>1324</v>
      </c>
      <c r="D296" s="278" t="s">
        <v>1325</v>
      </c>
      <c r="E296" s="278" t="s">
        <v>461</v>
      </c>
      <c r="F296" s="279">
        <v>5</v>
      </c>
      <c r="G296" s="279">
        <v>575</v>
      </c>
      <c r="H296" s="280">
        <f t="shared" si="4"/>
        <v>487.28813559322037</v>
      </c>
    </row>
    <row r="297" spans="1:8" ht="15" customHeight="1" x14ac:dyDescent="0.25">
      <c r="A297" s="262">
        <v>645</v>
      </c>
      <c r="B297" s="278" t="s">
        <v>1326</v>
      </c>
      <c r="C297" s="278" t="s">
        <v>1327</v>
      </c>
      <c r="D297" s="278" t="s">
        <v>1328</v>
      </c>
      <c r="E297" s="278" t="s">
        <v>461</v>
      </c>
      <c r="F297" s="279">
        <v>380</v>
      </c>
      <c r="G297" s="279">
        <v>6811.2</v>
      </c>
      <c r="H297" s="280">
        <f t="shared" si="4"/>
        <v>5772.203389830509</v>
      </c>
    </row>
    <row r="298" spans="1:8" ht="15" customHeight="1" x14ac:dyDescent="0.25">
      <c r="A298" s="262">
        <v>647</v>
      </c>
      <c r="B298" s="278" t="s">
        <v>1329</v>
      </c>
      <c r="C298" s="278" t="s">
        <v>1330</v>
      </c>
      <c r="D298" s="278" t="s">
        <v>1331</v>
      </c>
      <c r="E298" s="278" t="s">
        <v>461</v>
      </c>
      <c r="F298" s="279">
        <v>5</v>
      </c>
      <c r="G298" s="279">
        <v>700</v>
      </c>
      <c r="H298" s="280">
        <f t="shared" si="4"/>
        <v>593.22033898305085</v>
      </c>
    </row>
    <row r="299" spans="1:8" ht="15" customHeight="1" x14ac:dyDescent="0.25">
      <c r="A299" s="262">
        <v>649</v>
      </c>
      <c r="B299" s="278" t="s">
        <v>1332</v>
      </c>
      <c r="C299" s="278" t="s">
        <v>1333</v>
      </c>
      <c r="D299" s="278" t="s">
        <v>1334</v>
      </c>
      <c r="E299" s="278" t="s">
        <v>461</v>
      </c>
      <c r="F299" s="279">
        <v>6</v>
      </c>
      <c r="G299" s="279">
        <v>360</v>
      </c>
      <c r="H299" s="280">
        <f t="shared" si="4"/>
        <v>305.08474576271186</v>
      </c>
    </row>
    <row r="300" spans="1:8" ht="15" customHeight="1" x14ac:dyDescent="0.25">
      <c r="A300" s="262">
        <v>651</v>
      </c>
      <c r="B300" s="278" t="s">
        <v>1335</v>
      </c>
      <c r="C300" s="278" t="s">
        <v>1336</v>
      </c>
      <c r="D300" s="278" t="s">
        <v>1337</v>
      </c>
      <c r="E300" s="278" t="s">
        <v>461</v>
      </c>
      <c r="F300" s="279">
        <v>14</v>
      </c>
      <c r="G300" s="279">
        <v>3499.86</v>
      </c>
      <c r="H300" s="280">
        <f t="shared" si="4"/>
        <v>2965.9830508474579</v>
      </c>
    </row>
    <row r="301" spans="1:8" ht="15" customHeight="1" x14ac:dyDescent="0.25">
      <c r="A301" s="262">
        <v>653</v>
      </c>
      <c r="B301" s="278" t="s">
        <v>1338</v>
      </c>
      <c r="C301" s="278" t="s">
        <v>1339</v>
      </c>
      <c r="D301" s="278" t="s">
        <v>1340</v>
      </c>
      <c r="E301" s="278" t="s">
        <v>461</v>
      </c>
      <c r="F301" s="279">
        <v>34</v>
      </c>
      <c r="G301" s="279">
        <v>19720</v>
      </c>
      <c r="H301" s="280">
        <f t="shared" si="4"/>
        <v>16711.864406779663</v>
      </c>
    </row>
    <row r="302" spans="1:8" ht="15" customHeight="1" x14ac:dyDescent="0.25">
      <c r="A302" s="262">
        <v>655</v>
      </c>
      <c r="B302" s="278" t="s">
        <v>1341</v>
      </c>
      <c r="C302" s="278" t="s">
        <v>1342</v>
      </c>
      <c r="D302" s="278" t="s">
        <v>1343</v>
      </c>
      <c r="E302" s="278" t="s">
        <v>461</v>
      </c>
      <c r="F302" s="279">
        <v>27</v>
      </c>
      <c r="G302" s="279">
        <v>21060</v>
      </c>
      <c r="H302" s="280">
        <f t="shared" si="4"/>
        <v>17847.457627118645</v>
      </c>
    </row>
    <row r="303" spans="1:8" ht="15" customHeight="1" x14ac:dyDescent="0.25">
      <c r="A303" s="262">
        <v>657</v>
      </c>
      <c r="B303" s="278" t="s">
        <v>1344</v>
      </c>
      <c r="C303" s="278" t="s">
        <v>1345</v>
      </c>
      <c r="D303" s="278" t="s">
        <v>1346</v>
      </c>
      <c r="E303" s="278" t="s">
        <v>461</v>
      </c>
      <c r="F303" s="279">
        <v>50</v>
      </c>
      <c r="G303" s="279">
        <v>5089.3500000000004</v>
      </c>
      <c r="H303" s="280">
        <f t="shared" si="4"/>
        <v>4313.0084745762715</v>
      </c>
    </row>
    <row r="304" spans="1:8" ht="15" customHeight="1" x14ac:dyDescent="0.25">
      <c r="A304" s="262">
        <v>659</v>
      </c>
      <c r="B304" s="278" t="s">
        <v>1347</v>
      </c>
      <c r="C304" s="278" t="s">
        <v>1348</v>
      </c>
      <c r="D304" s="278" t="s">
        <v>1349</v>
      </c>
      <c r="E304" s="278" t="s">
        <v>461</v>
      </c>
      <c r="F304" s="279">
        <v>14</v>
      </c>
      <c r="G304" s="279">
        <v>840</v>
      </c>
      <c r="H304" s="280">
        <f t="shared" si="4"/>
        <v>711.86440677966107</v>
      </c>
    </row>
    <row r="305" spans="1:8" ht="15" customHeight="1" x14ac:dyDescent="0.25">
      <c r="A305" s="262">
        <v>661</v>
      </c>
      <c r="B305" s="278" t="s">
        <v>1350</v>
      </c>
      <c r="C305" s="278" t="s">
        <v>1351</v>
      </c>
      <c r="D305" s="278" t="s">
        <v>1352</v>
      </c>
      <c r="E305" s="278" t="s">
        <v>461</v>
      </c>
      <c r="F305" s="279">
        <v>70</v>
      </c>
      <c r="G305" s="279">
        <v>2604.39</v>
      </c>
      <c r="H305" s="280">
        <f t="shared" si="4"/>
        <v>2207.1101694915255</v>
      </c>
    </row>
    <row r="306" spans="1:8" ht="15" customHeight="1" x14ac:dyDescent="0.25">
      <c r="A306" s="262">
        <v>663</v>
      </c>
      <c r="B306" s="278" t="s">
        <v>1353</v>
      </c>
      <c r="C306" s="278" t="s">
        <v>1354</v>
      </c>
      <c r="D306" s="278" t="s">
        <v>1355</v>
      </c>
      <c r="E306" s="278" t="s">
        <v>461</v>
      </c>
      <c r="F306" s="279">
        <v>79</v>
      </c>
      <c r="G306" s="279">
        <v>11382.32</v>
      </c>
      <c r="H306" s="280">
        <f t="shared" si="4"/>
        <v>9646.0338983050842</v>
      </c>
    </row>
    <row r="307" spans="1:8" ht="15" customHeight="1" x14ac:dyDescent="0.25">
      <c r="A307" s="262">
        <v>665</v>
      </c>
      <c r="B307" s="278" t="s">
        <v>1356</v>
      </c>
      <c r="C307" s="278" t="s">
        <v>1357</v>
      </c>
      <c r="D307" s="278" t="s">
        <v>1358</v>
      </c>
      <c r="E307" s="278" t="s">
        <v>461</v>
      </c>
      <c r="F307" s="279">
        <v>7</v>
      </c>
      <c r="G307" s="279">
        <v>350</v>
      </c>
      <c r="H307" s="280">
        <f t="shared" si="4"/>
        <v>296.61016949152543</v>
      </c>
    </row>
    <row r="308" spans="1:8" ht="15" customHeight="1" x14ac:dyDescent="0.25">
      <c r="A308" s="262">
        <v>667</v>
      </c>
      <c r="B308" s="278" t="s">
        <v>1359</v>
      </c>
      <c r="C308" s="278" t="s">
        <v>1360</v>
      </c>
      <c r="D308" s="278" t="s">
        <v>1361</v>
      </c>
      <c r="E308" s="278" t="s">
        <v>461</v>
      </c>
      <c r="F308" s="279">
        <v>1</v>
      </c>
      <c r="G308" s="279">
        <v>75</v>
      </c>
      <c r="H308" s="280">
        <f t="shared" si="4"/>
        <v>63.559322033898312</v>
      </c>
    </row>
    <row r="309" spans="1:8" ht="15" customHeight="1" x14ac:dyDescent="0.25">
      <c r="A309" s="262">
        <v>669</v>
      </c>
      <c r="B309" s="278" t="s">
        <v>1362</v>
      </c>
      <c r="C309" s="278" t="s">
        <v>1363</v>
      </c>
      <c r="D309" s="278" t="s">
        <v>1364</v>
      </c>
      <c r="E309" s="278" t="s">
        <v>461</v>
      </c>
      <c r="F309" s="279">
        <v>2</v>
      </c>
      <c r="G309" s="279">
        <v>150</v>
      </c>
      <c r="H309" s="280">
        <f t="shared" si="4"/>
        <v>127.11864406779662</v>
      </c>
    </row>
    <row r="310" spans="1:8" ht="15" customHeight="1" x14ac:dyDescent="0.25">
      <c r="A310" s="262">
        <v>671</v>
      </c>
      <c r="B310" s="278" t="s">
        <v>1365</v>
      </c>
      <c r="C310" s="278" t="s">
        <v>1366</v>
      </c>
      <c r="D310" s="278" t="s">
        <v>1367</v>
      </c>
      <c r="E310" s="278" t="s">
        <v>461</v>
      </c>
      <c r="F310" s="279">
        <v>7</v>
      </c>
      <c r="G310" s="279">
        <v>245</v>
      </c>
      <c r="H310" s="280">
        <f t="shared" si="4"/>
        <v>207.62711864406782</v>
      </c>
    </row>
    <row r="311" spans="1:8" ht="15" customHeight="1" x14ac:dyDescent="0.25">
      <c r="A311" s="262">
        <v>673</v>
      </c>
      <c r="B311" s="278" t="s">
        <v>1368</v>
      </c>
      <c r="C311" s="278" t="s">
        <v>1369</v>
      </c>
      <c r="D311" s="278" t="s">
        <v>1370</v>
      </c>
      <c r="E311" s="278" t="s">
        <v>461</v>
      </c>
      <c r="F311" s="279">
        <v>7</v>
      </c>
      <c r="G311" s="279">
        <v>11120.51</v>
      </c>
      <c r="H311" s="280">
        <f t="shared" si="4"/>
        <v>9424.1610169491523</v>
      </c>
    </row>
    <row r="312" spans="1:8" ht="15" customHeight="1" x14ac:dyDescent="0.25">
      <c r="A312" s="262">
        <v>675</v>
      </c>
      <c r="B312" s="278" t="s">
        <v>1371</v>
      </c>
      <c r="C312" s="278" t="s">
        <v>1372</v>
      </c>
      <c r="D312" s="278" t="s">
        <v>1373</v>
      </c>
      <c r="E312" s="278" t="s">
        <v>461</v>
      </c>
      <c r="F312" s="279">
        <v>7</v>
      </c>
      <c r="G312" s="279">
        <v>4561.75</v>
      </c>
      <c r="H312" s="280">
        <f t="shared" si="4"/>
        <v>3865.8898305084749</v>
      </c>
    </row>
    <row r="313" spans="1:8" ht="15" customHeight="1" x14ac:dyDescent="0.25">
      <c r="A313" s="262">
        <v>677</v>
      </c>
      <c r="B313" s="278" t="s">
        <v>1374</v>
      </c>
      <c r="C313" s="278" t="s">
        <v>1375</v>
      </c>
      <c r="D313" s="278" t="s">
        <v>1376</v>
      </c>
      <c r="E313" s="278" t="s">
        <v>461</v>
      </c>
      <c r="F313" s="279">
        <v>2</v>
      </c>
      <c r="G313" s="279">
        <v>2924.99</v>
      </c>
      <c r="H313" s="280">
        <f t="shared" si="4"/>
        <v>2478.8050847457625</v>
      </c>
    </row>
    <row r="314" spans="1:8" ht="15" customHeight="1" x14ac:dyDescent="0.25">
      <c r="A314" s="262">
        <v>679</v>
      </c>
      <c r="B314" s="278" t="s">
        <v>1377</v>
      </c>
      <c r="C314" s="278" t="s">
        <v>1378</v>
      </c>
      <c r="D314" s="278" t="s">
        <v>1379</v>
      </c>
      <c r="E314" s="278" t="s">
        <v>461</v>
      </c>
      <c r="F314" s="279">
        <v>3</v>
      </c>
      <c r="G314" s="279">
        <v>12916.76</v>
      </c>
      <c r="H314" s="280">
        <f t="shared" si="4"/>
        <v>10946.406779661018</v>
      </c>
    </row>
    <row r="315" spans="1:8" ht="15" customHeight="1" x14ac:dyDescent="0.25">
      <c r="A315" s="262">
        <v>681</v>
      </c>
      <c r="B315" s="278" t="s">
        <v>1380</v>
      </c>
      <c r="C315" s="278" t="s">
        <v>1381</v>
      </c>
      <c r="D315" s="278" t="s">
        <v>1382</v>
      </c>
      <c r="E315" s="278" t="s">
        <v>461</v>
      </c>
      <c r="F315" s="279">
        <v>8</v>
      </c>
      <c r="G315" s="279">
        <v>560</v>
      </c>
      <c r="H315" s="280">
        <f t="shared" si="4"/>
        <v>474.57627118644069</v>
      </c>
    </row>
    <row r="316" spans="1:8" ht="15" customHeight="1" x14ac:dyDescent="0.25">
      <c r="A316" s="262">
        <v>683</v>
      </c>
      <c r="B316" s="278" t="s">
        <v>1383</v>
      </c>
      <c r="C316" s="278" t="s">
        <v>1384</v>
      </c>
      <c r="D316" s="278" t="s">
        <v>1385</v>
      </c>
      <c r="E316" s="278" t="s">
        <v>461</v>
      </c>
      <c r="F316" s="279">
        <v>6</v>
      </c>
      <c r="G316" s="279">
        <v>586.72</v>
      </c>
      <c r="H316" s="280">
        <f t="shared" si="4"/>
        <v>497.22033898305091</v>
      </c>
    </row>
    <row r="317" spans="1:8" ht="15" customHeight="1" x14ac:dyDescent="0.25">
      <c r="A317" s="262">
        <v>685</v>
      </c>
      <c r="B317" s="278" t="s">
        <v>1386</v>
      </c>
      <c r="C317" s="278" t="s">
        <v>1387</v>
      </c>
      <c r="D317" s="278" t="s">
        <v>1388</v>
      </c>
      <c r="E317" s="278" t="s">
        <v>461</v>
      </c>
      <c r="F317" s="279">
        <v>11</v>
      </c>
      <c r="G317" s="279">
        <v>2463.9899999999998</v>
      </c>
      <c r="H317" s="280">
        <f t="shared" si="4"/>
        <v>2088.1271186440677</v>
      </c>
    </row>
    <row r="318" spans="1:8" ht="15" customHeight="1" x14ac:dyDescent="0.25">
      <c r="A318" s="262">
        <v>687</v>
      </c>
      <c r="B318" s="278" t="s">
        <v>1389</v>
      </c>
      <c r="C318" s="278" t="s">
        <v>1390</v>
      </c>
      <c r="D318" s="278" t="s">
        <v>1391</v>
      </c>
      <c r="E318" s="278" t="s">
        <v>461</v>
      </c>
      <c r="F318" s="279">
        <v>4</v>
      </c>
      <c r="G318" s="279">
        <v>200</v>
      </c>
      <c r="H318" s="280">
        <f t="shared" si="4"/>
        <v>169.49152542372883</v>
      </c>
    </row>
    <row r="319" spans="1:8" ht="15" customHeight="1" x14ac:dyDescent="0.25">
      <c r="A319" s="262">
        <v>689</v>
      </c>
      <c r="B319" s="278" t="s">
        <v>1392</v>
      </c>
      <c r="C319" s="278" t="s">
        <v>1393</v>
      </c>
      <c r="D319" s="278" t="s">
        <v>1394</v>
      </c>
      <c r="E319" s="278" t="s">
        <v>461</v>
      </c>
      <c r="F319" s="279">
        <v>18</v>
      </c>
      <c r="G319" s="279">
        <v>1032.04</v>
      </c>
      <c r="H319" s="280">
        <f t="shared" si="4"/>
        <v>874.61016949152543</v>
      </c>
    </row>
    <row r="320" spans="1:8" ht="15" customHeight="1" x14ac:dyDescent="0.25">
      <c r="A320" s="262">
        <v>691</v>
      </c>
      <c r="B320" s="278" t="s">
        <v>1395</v>
      </c>
      <c r="C320" s="278" t="s">
        <v>1396</v>
      </c>
      <c r="D320" s="278" t="s">
        <v>1397</v>
      </c>
      <c r="E320" s="278" t="s">
        <v>461</v>
      </c>
      <c r="F320" s="279">
        <v>10</v>
      </c>
      <c r="G320" s="279">
        <v>1400</v>
      </c>
      <c r="H320" s="280">
        <f t="shared" si="4"/>
        <v>1186.4406779661017</v>
      </c>
    </row>
    <row r="321" spans="1:8" ht="15" customHeight="1" x14ac:dyDescent="0.25">
      <c r="A321" s="262">
        <v>693</v>
      </c>
      <c r="B321" s="278" t="s">
        <v>1398</v>
      </c>
      <c r="C321" s="278" t="s">
        <v>1399</v>
      </c>
      <c r="D321" s="278" t="s">
        <v>1400</v>
      </c>
      <c r="E321" s="278" t="s">
        <v>461</v>
      </c>
      <c r="F321" s="279">
        <v>2</v>
      </c>
      <c r="G321" s="279">
        <v>2199.9899999999998</v>
      </c>
      <c r="H321" s="280">
        <f t="shared" si="4"/>
        <v>1864.3983050847457</v>
      </c>
    </row>
    <row r="322" spans="1:8" ht="15" customHeight="1" x14ac:dyDescent="0.25">
      <c r="A322" s="262">
        <v>695</v>
      </c>
      <c r="B322" s="278" t="s">
        <v>1401</v>
      </c>
      <c r="C322" s="278" t="s">
        <v>1402</v>
      </c>
      <c r="D322" s="278" t="s">
        <v>1403</v>
      </c>
      <c r="E322" s="278" t="s">
        <v>461</v>
      </c>
      <c r="F322" s="279">
        <v>8</v>
      </c>
      <c r="G322" s="279">
        <v>3200</v>
      </c>
      <c r="H322" s="280">
        <f t="shared" si="4"/>
        <v>2711.8644067796613</v>
      </c>
    </row>
    <row r="323" spans="1:8" ht="15" customHeight="1" x14ac:dyDescent="0.25">
      <c r="A323" s="262">
        <v>697</v>
      </c>
      <c r="B323" s="278" t="s">
        <v>1404</v>
      </c>
      <c r="C323" s="278" t="s">
        <v>1405</v>
      </c>
      <c r="D323" s="278" t="s">
        <v>1406</v>
      </c>
      <c r="E323" s="278" t="s">
        <v>461</v>
      </c>
      <c r="F323" s="279">
        <v>25</v>
      </c>
      <c r="G323" s="279">
        <v>3177.96</v>
      </c>
      <c r="H323" s="280">
        <f t="shared" si="4"/>
        <v>2693.1864406779664</v>
      </c>
    </row>
    <row r="324" spans="1:8" ht="15" customHeight="1" x14ac:dyDescent="0.25">
      <c r="A324" s="262">
        <v>699</v>
      </c>
      <c r="B324" s="278" t="s">
        <v>1407</v>
      </c>
      <c r="C324" s="278" t="s">
        <v>1408</v>
      </c>
      <c r="D324" s="278" t="s">
        <v>1409</v>
      </c>
      <c r="E324" s="278" t="s">
        <v>461</v>
      </c>
      <c r="F324" s="279">
        <v>10</v>
      </c>
      <c r="G324" s="279">
        <v>1483.1</v>
      </c>
      <c r="H324" s="280">
        <f t="shared" si="4"/>
        <v>1256.8644067796611</v>
      </c>
    </row>
    <row r="325" spans="1:8" ht="15" customHeight="1" x14ac:dyDescent="0.25">
      <c r="A325" s="262">
        <v>701</v>
      </c>
      <c r="B325" s="278" t="s">
        <v>1410</v>
      </c>
      <c r="C325" s="278" t="s">
        <v>1411</v>
      </c>
      <c r="D325" s="278" t="s">
        <v>1412</v>
      </c>
      <c r="E325" s="278" t="s">
        <v>461</v>
      </c>
      <c r="F325" s="279">
        <v>20</v>
      </c>
      <c r="G325" s="279">
        <v>2966.2</v>
      </c>
      <c r="H325" s="280">
        <f t="shared" si="4"/>
        <v>2513.7288135593221</v>
      </c>
    </row>
    <row r="326" spans="1:8" ht="15" customHeight="1" x14ac:dyDescent="0.25">
      <c r="A326" s="262">
        <v>703</v>
      </c>
      <c r="B326" s="278" t="s">
        <v>1413</v>
      </c>
      <c r="C326" s="278" t="s">
        <v>1414</v>
      </c>
      <c r="D326" s="278" t="s">
        <v>1415</v>
      </c>
      <c r="E326" s="278" t="s">
        <v>461</v>
      </c>
      <c r="F326" s="279">
        <v>12</v>
      </c>
      <c r="G326" s="279">
        <v>720</v>
      </c>
      <c r="H326" s="280">
        <f t="shared" si="4"/>
        <v>610.16949152542372</v>
      </c>
    </row>
    <row r="327" spans="1:8" ht="15" customHeight="1" x14ac:dyDescent="0.25">
      <c r="A327" s="262">
        <v>705</v>
      </c>
      <c r="B327" s="278" t="s">
        <v>1416</v>
      </c>
      <c r="C327" s="278" t="s">
        <v>1417</v>
      </c>
      <c r="D327" s="278" t="s">
        <v>1418</v>
      </c>
      <c r="E327" s="278" t="s">
        <v>461</v>
      </c>
      <c r="F327" s="279">
        <v>1</v>
      </c>
      <c r="G327" s="279">
        <v>447.02</v>
      </c>
      <c r="H327" s="280">
        <f t="shared" ref="H327:H390" si="5">G327/1.18</f>
        <v>378.83050847457628</v>
      </c>
    </row>
    <row r="328" spans="1:8" ht="15" customHeight="1" x14ac:dyDescent="0.25">
      <c r="A328" s="262">
        <v>707</v>
      </c>
      <c r="B328" s="278" t="s">
        <v>1419</v>
      </c>
      <c r="C328" s="278" t="s">
        <v>1420</v>
      </c>
      <c r="D328" s="278" t="s">
        <v>1421</v>
      </c>
      <c r="E328" s="278" t="s">
        <v>461</v>
      </c>
      <c r="F328" s="279">
        <v>2</v>
      </c>
      <c r="G328" s="279">
        <v>769.36</v>
      </c>
      <c r="H328" s="280">
        <f t="shared" si="5"/>
        <v>652</v>
      </c>
    </row>
    <row r="329" spans="1:8" ht="15" customHeight="1" x14ac:dyDescent="0.25">
      <c r="A329" s="262">
        <v>709</v>
      </c>
      <c r="B329" s="278" t="s">
        <v>1422</v>
      </c>
      <c r="C329" s="278" t="s">
        <v>1423</v>
      </c>
      <c r="D329" s="278" t="s">
        <v>1424</v>
      </c>
      <c r="E329" s="278" t="s">
        <v>461</v>
      </c>
      <c r="F329" s="279">
        <v>17</v>
      </c>
      <c r="G329" s="279">
        <v>5041.4799999999996</v>
      </c>
      <c r="H329" s="280">
        <f t="shared" si="5"/>
        <v>4272.4406779661012</v>
      </c>
    </row>
    <row r="330" spans="1:8" ht="15" customHeight="1" x14ac:dyDescent="0.25">
      <c r="A330" s="262">
        <v>711</v>
      </c>
      <c r="B330" s="278" t="s">
        <v>1425</v>
      </c>
      <c r="C330" s="278" t="s">
        <v>1426</v>
      </c>
      <c r="D330" s="278" t="s">
        <v>1427</v>
      </c>
      <c r="E330" s="278" t="s">
        <v>461</v>
      </c>
      <c r="F330" s="279">
        <v>5</v>
      </c>
      <c r="G330" s="279">
        <v>2047.3</v>
      </c>
      <c r="H330" s="280">
        <f t="shared" si="5"/>
        <v>1735</v>
      </c>
    </row>
    <row r="331" spans="1:8" ht="15" customHeight="1" x14ac:dyDescent="0.25">
      <c r="A331" s="262">
        <v>713</v>
      </c>
      <c r="B331" s="278" t="s">
        <v>1428</v>
      </c>
      <c r="C331" s="278" t="s">
        <v>1429</v>
      </c>
      <c r="D331" s="278" t="s">
        <v>1430</v>
      </c>
      <c r="E331" s="278" t="s">
        <v>461</v>
      </c>
      <c r="F331" s="279">
        <v>500</v>
      </c>
      <c r="G331" s="279">
        <v>19175</v>
      </c>
      <c r="H331" s="280">
        <f t="shared" si="5"/>
        <v>16250</v>
      </c>
    </row>
    <row r="332" spans="1:8" ht="15" customHeight="1" x14ac:dyDescent="0.25">
      <c r="A332" s="262">
        <v>715</v>
      </c>
      <c r="B332" s="278" t="s">
        <v>1431</v>
      </c>
      <c r="C332" s="278" t="s">
        <v>1432</v>
      </c>
      <c r="D332" s="278" t="s">
        <v>1169</v>
      </c>
      <c r="E332" s="278" t="s">
        <v>461</v>
      </c>
      <c r="F332" s="279">
        <v>4</v>
      </c>
      <c r="G332" s="279">
        <v>15316.4</v>
      </c>
      <c r="H332" s="280">
        <f t="shared" si="5"/>
        <v>12980</v>
      </c>
    </row>
    <row r="333" spans="1:8" ht="15" customHeight="1" x14ac:dyDescent="0.25">
      <c r="A333" s="262">
        <v>717</v>
      </c>
      <c r="B333" s="278" t="s">
        <v>1433</v>
      </c>
      <c r="C333" s="278" t="s">
        <v>1434</v>
      </c>
      <c r="D333" s="278" t="s">
        <v>1435</v>
      </c>
      <c r="E333" s="278" t="s">
        <v>461</v>
      </c>
      <c r="F333" s="279">
        <v>8</v>
      </c>
      <c r="G333" s="279">
        <v>559.04</v>
      </c>
      <c r="H333" s="280">
        <f t="shared" si="5"/>
        <v>473.76271186440675</v>
      </c>
    </row>
    <row r="334" spans="1:8" ht="15" customHeight="1" x14ac:dyDescent="0.25">
      <c r="A334" s="262">
        <v>719</v>
      </c>
      <c r="B334" s="278" t="s">
        <v>1436</v>
      </c>
      <c r="C334" s="278" t="s">
        <v>1437</v>
      </c>
      <c r="D334" s="278" t="s">
        <v>1438</v>
      </c>
      <c r="E334" s="278" t="s">
        <v>461</v>
      </c>
      <c r="F334" s="279">
        <v>16</v>
      </c>
      <c r="G334" s="279">
        <v>1040</v>
      </c>
      <c r="H334" s="280">
        <f t="shared" si="5"/>
        <v>881.3559322033899</v>
      </c>
    </row>
    <row r="335" spans="1:8" ht="15" customHeight="1" x14ac:dyDescent="0.25">
      <c r="A335" s="262">
        <v>721</v>
      </c>
      <c r="B335" s="278" t="s">
        <v>1439</v>
      </c>
      <c r="C335" s="278" t="s">
        <v>1440</v>
      </c>
      <c r="D335" s="278" t="s">
        <v>1441</v>
      </c>
      <c r="E335" s="278" t="s">
        <v>461</v>
      </c>
      <c r="F335" s="279">
        <v>1</v>
      </c>
      <c r="G335" s="279">
        <v>2070.9</v>
      </c>
      <c r="H335" s="280">
        <f t="shared" si="5"/>
        <v>1755.0000000000002</v>
      </c>
    </row>
    <row r="336" spans="1:8" ht="15" customHeight="1" x14ac:dyDescent="0.25">
      <c r="A336" s="262">
        <v>723</v>
      </c>
      <c r="B336" s="278" t="s">
        <v>1442</v>
      </c>
      <c r="C336" s="278" t="s">
        <v>1443</v>
      </c>
      <c r="D336" s="278" t="s">
        <v>1444</v>
      </c>
      <c r="E336" s="278" t="s">
        <v>461</v>
      </c>
      <c r="F336" s="279">
        <v>19</v>
      </c>
      <c r="G336" s="279">
        <v>807.12</v>
      </c>
      <c r="H336" s="280">
        <f t="shared" si="5"/>
        <v>684</v>
      </c>
    </row>
    <row r="337" spans="1:8" ht="15" customHeight="1" x14ac:dyDescent="0.25">
      <c r="A337" s="262">
        <v>725</v>
      </c>
      <c r="B337" s="278" t="s">
        <v>1445</v>
      </c>
      <c r="C337" s="278" t="s">
        <v>1446</v>
      </c>
      <c r="D337" s="278" t="s">
        <v>1447</v>
      </c>
      <c r="E337" s="278" t="s">
        <v>461</v>
      </c>
      <c r="F337" s="279">
        <v>4</v>
      </c>
      <c r="G337" s="279">
        <v>396.48</v>
      </c>
      <c r="H337" s="280">
        <f t="shared" si="5"/>
        <v>336.00000000000006</v>
      </c>
    </row>
    <row r="338" spans="1:8" ht="15" customHeight="1" x14ac:dyDescent="0.25">
      <c r="A338" s="262">
        <v>727</v>
      </c>
      <c r="B338" s="278" t="s">
        <v>1448</v>
      </c>
      <c r="C338" s="278" t="s">
        <v>1449</v>
      </c>
      <c r="D338" s="278" t="s">
        <v>1450</v>
      </c>
      <c r="E338" s="278" t="s">
        <v>461</v>
      </c>
      <c r="F338" s="279">
        <v>10</v>
      </c>
      <c r="G338" s="279">
        <v>3752.4</v>
      </c>
      <c r="H338" s="280">
        <f t="shared" si="5"/>
        <v>3180.0000000000005</v>
      </c>
    </row>
    <row r="339" spans="1:8" ht="15" customHeight="1" x14ac:dyDescent="0.25">
      <c r="A339" s="262">
        <v>729</v>
      </c>
      <c r="B339" s="278" t="s">
        <v>1451</v>
      </c>
      <c r="C339" s="278" t="s">
        <v>1452</v>
      </c>
      <c r="D339" s="278" t="s">
        <v>1453</v>
      </c>
      <c r="E339" s="278" t="s">
        <v>461</v>
      </c>
      <c r="F339" s="279">
        <v>12</v>
      </c>
      <c r="G339" s="279">
        <v>637.20000000000005</v>
      </c>
      <c r="H339" s="280">
        <f t="shared" si="5"/>
        <v>540.00000000000011</v>
      </c>
    </row>
    <row r="340" spans="1:8" ht="15" customHeight="1" x14ac:dyDescent="0.25">
      <c r="A340" s="262">
        <v>731</v>
      </c>
      <c r="B340" s="278" t="s">
        <v>1454</v>
      </c>
      <c r="C340" s="278" t="s">
        <v>1455</v>
      </c>
      <c r="D340" s="278" t="s">
        <v>1456</v>
      </c>
      <c r="E340" s="278" t="s">
        <v>461</v>
      </c>
      <c r="F340" s="279">
        <v>3</v>
      </c>
      <c r="G340" s="279">
        <v>5256.9</v>
      </c>
      <c r="H340" s="280">
        <f t="shared" si="5"/>
        <v>4455</v>
      </c>
    </row>
    <row r="341" spans="1:8" ht="15" customHeight="1" x14ac:dyDescent="0.25">
      <c r="A341" s="262">
        <v>733</v>
      </c>
      <c r="B341" s="278" t="s">
        <v>1457</v>
      </c>
      <c r="C341" s="278" t="s">
        <v>1458</v>
      </c>
      <c r="D341" s="278" t="s">
        <v>1459</v>
      </c>
      <c r="E341" s="278" t="s">
        <v>461</v>
      </c>
      <c r="F341" s="279">
        <v>10</v>
      </c>
      <c r="G341" s="279">
        <v>2106.3000000000002</v>
      </c>
      <c r="H341" s="280">
        <f t="shared" si="5"/>
        <v>1785.0000000000002</v>
      </c>
    </row>
    <row r="342" spans="1:8" ht="15" customHeight="1" x14ac:dyDescent="0.25">
      <c r="A342" s="262">
        <v>735</v>
      </c>
      <c r="B342" s="278" t="s">
        <v>1460</v>
      </c>
      <c r="C342" s="278" t="s">
        <v>1461</v>
      </c>
      <c r="D342" s="278" t="s">
        <v>1462</v>
      </c>
      <c r="E342" s="278" t="s">
        <v>461</v>
      </c>
      <c r="F342" s="279">
        <v>49</v>
      </c>
      <c r="G342" s="279">
        <v>1275.52</v>
      </c>
      <c r="H342" s="280">
        <f t="shared" si="5"/>
        <v>1080.949152542373</v>
      </c>
    </row>
    <row r="343" spans="1:8" ht="15" customHeight="1" x14ac:dyDescent="0.25">
      <c r="A343" s="262">
        <v>737</v>
      </c>
      <c r="B343" s="278" t="s">
        <v>1463</v>
      </c>
      <c r="C343" s="278" t="s">
        <v>1464</v>
      </c>
      <c r="D343" s="278" t="s">
        <v>1465</v>
      </c>
      <c r="E343" s="278" t="s">
        <v>461</v>
      </c>
      <c r="F343" s="279">
        <v>2</v>
      </c>
      <c r="G343" s="279">
        <v>200.7</v>
      </c>
      <c r="H343" s="280">
        <f t="shared" si="5"/>
        <v>170.08474576271186</v>
      </c>
    </row>
    <row r="344" spans="1:8" ht="15" customHeight="1" x14ac:dyDescent="0.25">
      <c r="A344" s="262">
        <v>739</v>
      </c>
      <c r="B344" s="278" t="s">
        <v>1466</v>
      </c>
      <c r="C344" s="278" t="s">
        <v>1467</v>
      </c>
      <c r="D344" s="278" t="s">
        <v>1468</v>
      </c>
      <c r="E344" s="278" t="s">
        <v>461</v>
      </c>
      <c r="F344" s="279">
        <v>20</v>
      </c>
      <c r="G344" s="279">
        <v>20296</v>
      </c>
      <c r="H344" s="280">
        <f t="shared" si="5"/>
        <v>17200</v>
      </c>
    </row>
    <row r="345" spans="1:8" ht="15" customHeight="1" x14ac:dyDescent="0.25">
      <c r="A345" s="262">
        <v>741</v>
      </c>
      <c r="B345" s="278" t="s">
        <v>1469</v>
      </c>
      <c r="C345" s="278" t="s">
        <v>1470</v>
      </c>
      <c r="D345" s="278" t="s">
        <v>1471</v>
      </c>
      <c r="E345" s="278" t="s">
        <v>461</v>
      </c>
      <c r="F345" s="279">
        <v>3</v>
      </c>
      <c r="G345" s="279">
        <v>1155</v>
      </c>
      <c r="H345" s="280">
        <f t="shared" si="5"/>
        <v>978.81355932203394</v>
      </c>
    </row>
    <row r="346" spans="1:8" ht="15" customHeight="1" x14ac:dyDescent="0.25">
      <c r="A346" s="262">
        <v>743</v>
      </c>
      <c r="B346" s="278" t="s">
        <v>1472</v>
      </c>
      <c r="C346" s="278" t="s">
        <v>1473</v>
      </c>
      <c r="D346" s="278" t="s">
        <v>1474</v>
      </c>
      <c r="E346" s="278" t="s">
        <v>461</v>
      </c>
      <c r="F346" s="279">
        <v>192</v>
      </c>
      <c r="G346" s="279">
        <v>2726.4</v>
      </c>
      <c r="H346" s="280">
        <f t="shared" si="5"/>
        <v>2310.5084745762715</v>
      </c>
    </row>
    <row r="347" spans="1:8" ht="15" customHeight="1" x14ac:dyDescent="0.25">
      <c r="A347" s="262">
        <v>745</v>
      </c>
      <c r="B347" s="278" t="s">
        <v>1475</v>
      </c>
      <c r="C347" s="278" t="s">
        <v>1476</v>
      </c>
      <c r="D347" s="278" t="s">
        <v>1477</v>
      </c>
      <c r="E347" s="278" t="s">
        <v>461</v>
      </c>
      <c r="F347" s="279">
        <v>50</v>
      </c>
      <c r="G347" s="279">
        <v>1168</v>
      </c>
      <c r="H347" s="280">
        <f t="shared" si="5"/>
        <v>989.83050847457628</v>
      </c>
    </row>
    <row r="348" spans="1:8" ht="15" customHeight="1" x14ac:dyDescent="0.25">
      <c r="A348" s="262">
        <v>747</v>
      </c>
      <c r="B348" s="278" t="s">
        <v>1478</v>
      </c>
      <c r="C348" s="278" t="s">
        <v>1479</v>
      </c>
      <c r="D348" s="278" t="s">
        <v>1480</v>
      </c>
      <c r="E348" s="278" t="s">
        <v>461</v>
      </c>
      <c r="F348" s="279">
        <v>15</v>
      </c>
      <c r="G348" s="279">
        <v>392.55</v>
      </c>
      <c r="H348" s="280">
        <f t="shared" si="5"/>
        <v>332.66949152542378</v>
      </c>
    </row>
    <row r="349" spans="1:8" ht="15" customHeight="1" x14ac:dyDescent="0.25">
      <c r="A349" s="262">
        <v>749</v>
      </c>
      <c r="B349" s="278" t="s">
        <v>1481</v>
      </c>
      <c r="C349" s="278" t="s">
        <v>1482</v>
      </c>
      <c r="D349" s="278" t="s">
        <v>1483</v>
      </c>
      <c r="E349" s="278" t="s">
        <v>461</v>
      </c>
      <c r="F349" s="279">
        <v>20</v>
      </c>
      <c r="G349" s="279">
        <v>206.5</v>
      </c>
      <c r="H349" s="280">
        <f t="shared" si="5"/>
        <v>175</v>
      </c>
    </row>
    <row r="350" spans="1:8" ht="15" customHeight="1" x14ac:dyDescent="0.25">
      <c r="A350" s="262">
        <v>751</v>
      </c>
      <c r="B350" s="278" t="s">
        <v>1484</v>
      </c>
      <c r="C350" s="278" t="s">
        <v>1485</v>
      </c>
      <c r="D350" s="278" t="s">
        <v>1486</v>
      </c>
      <c r="E350" s="278" t="s">
        <v>461</v>
      </c>
      <c r="F350" s="279">
        <v>4</v>
      </c>
      <c r="G350" s="279">
        <v>6433.88</v>
      </c>
      <c r="H350" s="280">
        <f t="shared" si="5"/>
        <v>5452.4406779661022</v>
      </c>
    </row>
    <row r="351" spans="1:8" ht="15" customHeight="1" x14ac:dyDescent="0.25">
      <c r="A351" s="262">
        <v>753</v>
      </c>
      <c r="B351" s="278" t="s">
        <v>1487</v>
      </c>
      <c r="C351" s="278" t="s">
        <v>1488</v>
      </c>
      <c r="D351" s="278" t="s">
        <v>1489</v>
      </c>
      <c r="E351" s="278" t="s">
        <v>461</v>
      </c>
      <c r="F351" s="279">
        <v>20</v>
      </c>
      <c r="G351" s="279">
        <v>1160</v>
      </c>
      <c r="H351" s="280">
        <f t="shared" si="5"/>
        <v>983.05084745762713</v>
      </c>
    </row>
    <row r="352" spans="1:8" ht="15" customHeight="1" x14ac:dyDescent="0.25">
      <c r="A352" s="262">
        <v>755</v>
      </c>
      <c r="B352" s="278" t="s">
        <v>1490</v>
      </c>
      <c r="C352" s="278" t="s">
        <v>1491</v>
      </c>
      <c r="D352" s="278" t="s">
        <v>1492</v>
      </c>
      <c r="E352" s="278" t="s">
        <v>461</v>
      </c>
      <c r="F352" s="279">
        <v>27</v>
      </c>
      <c r="G352" s="279">
        <v>945</v>
      </c>
      <c r="H352" s="280">
        <f t="shared" si="5"/>
        <v>800.84745762711873</v>
      </c>
    </row>
    <row r="353" spans="1:8" ht="15" customHeight="1" x14ac:dyDescent="0.25">
      <c r="A353" s="262">
        <v>757</v>
      </c>
      <c r="B353" s="278" t="s">
        <v>1493</v>
      </c>
      <c r="C353" s="278" t="s">
        <v>1494</v>
      </c>
      <c r="D353" s="278" t="s">
        <v>1495</v>
      </c>
      <c r="E353" s="278" t="s">
        <v>461</v>
      </c>
      <c r="F353" s="279">
        <v>10</v>
      </c>
      <c r="G353" s="279">
        <v>3363</v>
      </c>
      <c r="H353" s="280">
        <f t="shared" si="5"/>
        <v>2850</v>
      </c>
    </row>
    <row r="354" spans="1:8" ht="15" customHeight="1" x14ac:dyDescent="0.25">
      <c r="A354" s="262">
        <v>759</v>
      </c>
      <c r="B354" s="278" t="s">
        <v>1496</v>
      </c>
      <c r="C354" s="278" t="s">
        <v>1497</v>
      </c>
      <c r="D354" s="278" t="s">
        <v>1498</v>
      </c>
      <c r="E354" s="278" t="s">
        <v>461</v>
      </c>
      <c r="F354" s="279">
        <v>10</v>
      </c>
      <c r="G354" s="279">
        <v>4850</v>
      </c>
      <c r="H354" s="280">
        <f t="shared" si="5"/>
        <v>4110.1694915254238</v>
      </c>
    </row>
    <row r="355" spans="1:8" ht="15" customHeight="1" x14ac:dyDescent="0.25">
      <c r="A355" s="262">
        <v>761</v>
      </c>
      <c r="B355" s="278" t="s">
        <v>1499</v>
      </c>
      <c r="C355" s="278" t="s">
        <v>1500</v>
      </c>
      <c r="D355" s="278" t="s">
        <v>1501</v>
      </c>
      <c r="E355" s="278" t="s">
        <v>461</v>
      </c>
      <c r="F355" s="279">
        <v>29</v>
      </c>
      <c r="G355" s="279">
        <v>25056</v>
      </c>
      <c r="H355" s="280">
        <f t="shared" si="5"/>
        <v>21233.898305084746</v>
      </c>
    </row>
    <row r="356" spans="1:8" ht="15" customHeight="1" x14ac:dyDescent="0.25">
      <c r="A356" s="262">
        <v>763</v>
      </c>
      <c r="B356" s="278" t="s">
        <v>1502</v>
      </c>
      <c r="C356" s="278" t="s">
        <v>1503</v>
      </c>
      <c r="D356" s="278" t="s">
        <v>1504</v>
      </c>
      <c r="E356" s="278" t="s">
        <v>461</v>
      </c>
      <c r="F356" s="279">
        <v>67</v>
      </c>
      <c r="G356" s="279">
        <v>4355</v>
      </c>
      <c r="H356" s="280">
        <f t="shared" si="5"/>
        <v>3690.6779661016949</v>
      </c>
    </row>
    <row r="357" spans="1:8" ht="15" customHeight="1" x14ac:dyDescent="0.25">
      <c r="A357" s="262">
        <v>781</v>
      </c>
      <c r="B357" s="278" t="s">
        <v>1505</v>
      </c>
      <c r="C357" s="278" t="s">
        <v>1506</v>
      </c>
      <c r="D357" s="278" t="s">
        <v>1507</v>
      </c>
      <c r="E357" s="278" t="s">
        <v>461</v>
      </c>
      <c r="F357" s="279">
        <v>4</v>
      </c>
      <c r="G357" s="279">
        <v>380</v>
      </c>
      <c r="H357" s="280">
        <f t="shared" si="5"/>
        <v>322.03389830508479</v>
      </c>
    </row>
    <row r="358" spans="1:8" ht="15" customHeight="1" x14ac:dyDescent="0.25">
      <c r="A358" s="262">
        <v>783</v>
      </c>
      <c r="B358" s="278" t="s">
        <v>1508</v>
      </c>
      <c r="C358" s="278" t="s">
        <v>1509</v>
      </c>
      <c r="D358" s="278" t="s">
        <v>1510</v>
      </c>
      <c r="E358" s="278" t="s">
        <v>461</v>
      </c>
      <c r="F358" s="279">
        <v>79</v>
      </c>
      <c r="G358" s="279">
        <v>60593</v>
      </c>
      <c r="H358" s="280">
        <f t="shared" si="5"/>
        <v>51350</v>
      </c>
    </row>
    <row r="359" spans="1:8" ht="15" customHeight="1" x14ac:dyDescent="0.25">
      <c r="A359" s="262">
        <v>785</v>
      </c>
      <c r="B359" s="278" t="s">
        <v>1511</v>
      </c>
      <c r="C359" s="278" t="s">
        <v>1512</v>
      </c>
      <c r="D359" s="278" t="s">
        <v>1513</v>
      </c>
      <c r="E359" s="278" t="s">
        <v>461</v>
      </c>
      <c r="F359" s="279">
        <v>14</v>
      </c>
      <c r="G359" s="279">
        <v>7672</v>
      </c>
      <c r="H359" s="280">
        <f t="shared" si="5"/>
        <v>6501.6949152542375</v>
      </c>
    </row>
    <row r="360" spans="1:8" ht="15" customHeight="1" x14ac:dyDescent="0.25">
      <c r="A360" s="262">
        <v>787</v>
      </c>
      <c r="B360" s="278" t="s">
        <v>1514</v>
      </c>
      <c r="C360" s="278" t="s">
        <v>1515</v>
      </c>
      <c r="D360" s="278" t="s">
        <v>1516</v>
      </c>
      <c r="E360" s="278" t="s">
        <v>461</v>
      </c>
      <c r="F360" s="279">
        <v>19</v>
      </c>
      <c r="G360" s="279">
        <v>1140</v>
      </c>
      <c r="H360" s="280">
        <f t="shared" si="5"/>
        <v>966.10169491525426</v>
      </c>
    </row>
    <row r="361" spans="1:8" ht="15" customHeight="1" x14ac:dyDescent="0.25">
      <c r="A361" s="262">
        <v>789</v>
      </c>
      <c r="B361" s="278" t="s">
        <v>1517</v>
      </c>
      <c r="C361" s="278" t="s">
        <v>1518</v>
      </c>
      <c r="D361" s="278" t="s">
        <v>1519</v>
      </c>
      <c r="E361" s="278" t="s">
        <v>461</v>
      </c>
      <c r="F361" s="279">
        <v>2</v>
      </c>
      <c r="G361" s="279">
        <v>900</v>
      </c>
      <c r="H361" s="280">
        <f t="shared" si="5"/>
        <v>762.71186440677968</v>
      </c>
    </row>
    <row r="362" spans="1:8" ht="15" customHeight="1" x14ac:dyDescent="0.25">
      <c r="A362" s="262">
        <v>791</v>
      </c>
      <c r="B362" s="278" t="s">
        <v>1520</v>
      </c>
      <c r="C362" s="278" t="s">
        <v>1521</v>
      </c>
      <c r="D362" s="278" t="s">
        <v>1522</v>
      </c>
      <c r="E362" s="278" t="s">
        <v>461</v>
      </c>
      <c r="F362" s="279">
        <v>10</v>
      </c>
      <c r="G362" s="279">
        <v>5203.8</v>
      </c>
      <c r="H362" s="280">
        <f t="shared" si="5"/>
        <v>4410</v>
      </c>
    </row>
    <row r="363" spans="1:8" ht="15" customHeight="1" x14ac:dyDescent="0.25">
      <c r="A363" s="262">
        <v>793</v>
      </c>
      <c r="B363" s="278" t="s">
        <v>1523</v>
      </c>
      <c r="C363" s="278" t="s">
        <v>1524</v>
      </c>
      <c r="D363" s="278" t="s">
        <v>1525</v>
      </c>
      <c r="E363" s="278" t="s">
        <v>461</v>
      </c>
      <c r="F363" s="279">
        <v>1</v>
      </c>
      <c r="G363" s="279">
        <v>200</v>
      </c>
      <c r="H363" s="280">
        <f t="shared" si="5"/>
        <v>169.49152542372883</v>
      </c>
    </row>
    <row r="364" spans="1:8" ht="15" customHeight="1" x14ac:dyDescent="0.25">
      <c r="A364" s="262">
        <v>795</v>
      </c>
      <c r="B364" s="278" t="s">
        <v>1526</v>
      </c>
      <c r="C364" s="278" t="s">
        <v>1527</v>
      </c>
      <c r="D364" s="278" t="s">
        <v>1528</v>
      </c>
      <c r="E364" s="278" t="s">
        <v>461</v>
      </c>
      <c r="F364" s="279">
        <v>1</v>
      </c>
      <c r="G364" s="279">
        <v>200</v>
      </c>
      <c r="H364" s="280">
        <f t="shared" si="5"/>
        <v>169.49152542372883</v>
      </c>
    </row>
    <row r="365" spans="1:8" ht="15" customHeight="1" x14ac:dyDescent="0.25">
      <c r="A365" s="262">
        <v>797</v>
      </c>
      <c r="B365" s="278" t="s">
        <v>1529</v>
      </c>
      <c r="C365" s="278" t="s">
        <v>1530</v>
      </c>
      <c r="D365" s="278" t="s">
        <v>1531</v>
      </c>
      <c r="E365" s="278" t="s">
        <v>461</v>
      </c>
      <c r="F365" s="279">
        <v>350</v>
      </c>
      <c r="G365" s="279">
        <v>524.51</v>
      </c>
      <c r="H365" s="280">
        <f t="shared" si="5"/>
        <v>444.5</v>
      </c>
    </row>
    <row r="366" spans="1:8" ht="15" customHeight="1" x14ac:dyDescent="0.25">
      <c r="A366" s="262">
        <v>799</v>
      </c>
      <c r="B366" s="278" t="s">
        <v>1532</v>
      </c>
      <c r="C366" s="278" t="s">
        <v>1533</v>
      </c>
      <c r="D366" s="278" t="s">
        <v>1534</v>
      </c>
      <c r="E366" s="278" t="s">
        <v>461</v>
      </c>
      <c r="F366" s="279">
        <v>475</v>
      </c>
      <c r="G366" s="279">
        <v>807.12</v>
      </c>
      <c r="H366" s="280">
        <f t="shared" si="5"/>
        <v>684</v>
      </c>
    </row>
    <row r="367" spans="1:8" ht="15" customHeight="1" x14ac:dyDescent="0.25">
      <c r="A367" s="262">
        <v>801</v>
      </c>
      <c r="B367" s="278" t="s">
        <v>1535</v>
      </c>
      <c r="C367" s="278" t="s">
        <v>1536</v>
      </c>
      <c r="D367" s="278" t="s">
        <v>1537</v>
      </c>
      <c r="E367" s="278" t="s">
        <v>461</v>
      </c>
      <c r="F367" s="279">
        <v>3</v>
      </c>
      <c r="G367" s="279">
        <v>1200</v>
      </c>
      <c r="H367" s="280">
        <f t="shared" si="5"/>
        <v>1016.949152542373</v>
      </c>
    </row>
    <row r="368" spans="1:8" ht="15" customHeight="1" x14ac:dyDescent="0.25">
      <c r="A368" s="262">
        <v>803</v>
      </c>
      <c r="B368" s="278" t="s">
        <v>1538</v>
      </c>
      <c r="C368" s="278" t="s">
        <v>1539</v>
      </c>
      <c r="D368" s="278" t="s">
        <v>1540</v>
      </c>
      <c r="E368" s="278" t="s">
        <v>461</v>
      </c>
      <c r="F368" s="279">
        <v>8</v>
      </c>
      <c r="G368" s="279">
        <v>520</v>
      </c>
      <c r="H368" s="280">
        <f t="shared" si="5"/>
        <v>440.67796610169495</v>
      </c>
    </row>
    <row r="369" spans="1:8" ht="15" customHeight="1" x14ac:dyDescent="0.25">
      <c r="A369" s="262">
        <v>805</v>
      </c>
      <c r="B369" s="278" t="s">
        <v>1541</v>
      </c>
      <c r="C369" s="278" t="s">
        <v>1542</v>
      </c>
      <c r="D369" s="278" t="s">
        <v>1543</v>
      </c>
      <c r="E369" s="278" t="s">
        <v>461</v>
      </c>
      <c r="F369" s="279">
        <v>16</v>
      </c>
      <c r="G369" s="279">
        <v>5664</v>
      </c>
      <c r="H369" s="280">
        <f t="shared" si="5"/>
        <v>4800</v>
      </c>
    </row>
    <row r="370" spans="1:8" ht="15" customHeight="1" x14ac:dyDescent="0.25">
      <c r="A370" s="262">
        <v>807</v>
      </c>
      <c r="B370" s="278" t="s">
        <v>1544</v>
      </c>
      <c r="C370" s="278" t="s">
        <v>1545</v>
      </c>
      <c r="D370" s="278" t="s">
        <v>1546</v>
      </c>
      <c r="E370" s="278" t="s">
        <v>461</v>
      </c>
      <c r="F370" s="279">
        <v>19</v>
      </c>
      <c r="G370" s="279">
        <v>18700.560000000001</v>
      </c>
      <c r="H370" s="280">
        <f t="shared" si="5"/>
        <v>15847.932203389832</v>
      </c>
    </row>
    <row r="371" spans="1:8" ht="15" customHeight="1" x14ac:dyDescent="0.25">
      <c r="A371" s="262">
        <v>809</v>
      </c>
      <c r="B371" s="278" t="s">
        <v>1547</v>
      </c>
      <c r="C371" s="278" t="s">
        <v>1548</v>
      </c>
      <c r="D371" s="278" t="s">
        <v>1549</v>
      </c>
      <c r="E371" s="278" t="s">
        <v>461</v>
      </c>
      <c r="F371" s="279">
        <v>10</v>
      </c>
      <c r="G371" s="279">
        <v>113103</v>
      </c>
      <c r="H371" s="280">
        <f t="shared" si="5"/>
        <v>95850</v>
      </c>
    </row>
    <row r="372" spans="1:8" ht="15" customHeight="1" x14ac:dyDescent="0.25">
      <c r="A372" s="262">
        <v>811</v>
      </c>
      <c r="B372" s="278" t="s">
        <v>1550</v>
      </c>
      <c r="C372" s="278" t="s">
        <v>1551</v>
      </c>
      <c r="D372" s="278" t="s">
        <v>1552</v>
      </c>
      <c r="E372" s="278" t="s">
        <v>461</v>
      </c>
      <c r="F372" s="279">
        <v>4</v>
      </c>
      <c r="G372" s="279">
        <v>358838</v>
      </c>
      <c r="H372" s="280">
        <f t="shared" si="5"/>
        <v>304100</v>
      </c>
    </row>
    <row r="373" spans="1:8" ht="15" customHeight="1" x14ac:dyDescent="0.25">
      <c r="A373" s="262">
        <v>813</v>
      </c>
      <c r="B373" s="278" t="s">
        <v>1553</v>
      </c>
      <c r="C373" s="278" t="s">
        <v>1554</v>
      </c>
      <c r="D373" s="278" t="s">
        <v>1555</v>
      </c>
      <c r="E373" s="278" t="s">
        <v>461</v>
      </c>
      <c r="F373" s="279">
        <v>21</v>
      </c>
      <c r="G373" s="279">
        <v>166769.4</v>
      </c>
      <c r="H373" s="280">
        <f t="shared" si="5"/>
        <v>141330</v>
      </c>
    </row>
    <row r="374" spans="1:8" ht="15" customHeight="1" x14ac:dyDescent="0.25">
      <c r="A374" s="262">
        <v>815</v>
      </c>
      <c r="B374" s="278" t="s">
        <v>1556</v>
      </c>
      <c r="C374" s="278" t="s">
        <v>1557</v>
      </c>
      <c r="D374" s="278" t="s">
        <v>1558</v>
      </c>
      <c r="E374" s="278" t="s">
        <v>461</v>
      </c>
      <c r="F374" s="279">
        <v>1</v>
      </c>
      <c r="G374" s="279">
        <v>1300</v>
      </c>
      <c r="H374" s="280">
        <f t="shared" si="5"/>
        <v>1101.6949152542375</v>
      </c>
    </row>
    <row r="375" spans="1:8" ht="15" customHeight="1" x14ac:dyDescent="0.25">
      <c r="A375" s="262">
        <v>817</v>
      </c>
      <c r="B375" s="278" t="s">
        <v>1559</v>
      </c>
      <c r="C375" s="278" t="s">
        <v>1560</v>
      </c>
      <c r="D375" s="278" t="s">
        <v>1561</v>
      </c>
      <c r="E375" s="278" t="s">
        <v>461</v>
      </c>
      <c r="F375" s="279">
        <v>3</v>
      </c>
      <c r="G375" s="279">
        <v>18000</v>
      </c>
      <c r="H375" s="280">
        <f t="shared" si="5"/>
        <v>15254.237288135593</v>
      </c>
    </row>
    <row r="376" spans="1:8" ht="15" customHeight="1" x14ac:dyDescent="0.25">
      <c r="A376" s="262">
        <v>819</v>
      </c>
      <c r="B376" s="278" t="s">
        <v>1562</v>
      </c>
      <c r="C376" s="278" t="s">
        <v>1563</v>
      </c>
      <c r="D376" s="278" t="s">
        <v>1564</v>
      </c>
      <c r="E376" s="278" t="s">
        <v>461</v>
      </c>
      <c r="F376" s="279">
        <v>6</v>
      </c>
      <c r="G376" s="279">
        <v>8496</v>
      </c>
      <c r="H376" s="280">
        <f t="shared" si="5"/>
        <v>7200</v>
      </c>
    </row>
    <row r="377" spans="1:8" ht="15" customHeight="1" x14ac:dyDescent="0.25">
      <c r="A377" s="262">
        <v>821</v>
      </c>
      <c r="B377" s="278" t="s">
        <v>1565</v>
      </c>
      <c r="C377" s="278" t="s">
        <v>1566</v>
      </c>
      <c r="D377" s="278" t="s">
        <v>1567</v>
      </c>
      <c r="E377" s="278" t="s">
        <v>461</v>
      </c>
      <c r="F377" s="279">
        <v>1</v>
      </c>
      <c r="G377" s="279">
        <v>200</v>
      </c>
      <c r="H377" s="280">
        <f t="shared" si="5"/>
        <v>169.49152542372883</v>
      </c>
    </row>
    <row r="378" spans="1:8" ht="15" customHeight="1" x14ac:dyDescent="0.25">
      <c r="A378" s="262">
        <v>823</v>
      </c>
      <c r="B378" s="278" t="s">
        <v>1568</v>
      </c>
      <c r="C378" s="278" t="s">
        <v>1569</v>
      </c>
      <c r="D378" s="278" t="s">
        <v>1570</v>
      </c>
      <c r="E378" s="278" t="s">
        <v>461</v>
      </c>
      <c r="F378" s="279">
        <v>21</v>
      </c>
      <c r="G378" s="279">
        <v>79967.789999999994</v>
      </c>
      <c r="H378" s="280">
        <f t="shared" si="5"/>
        <v>67769.313559322036</v>
      </c>
    </row>
    <row r="379" spans="1:8" ht="15" customHeight="1" x14ac:dyDescent="0.25">
      <c r="A379" s="262">
        <v>825</v>
      </c>
      <c r="B379" s="278" t="s">
        <v>1571</v>
      </c>
      <c r="C379" s="278" t="s">
        <v>1572</v>
      </c>
      <c r="D379" s="278" t="s">
        <v>1573</v>
      </c>
      <c r="E379" s="278" t="s">
        <v>461</v>
      </c>
      <c r="F379" s="279">
        <v>28</v>
      </c>
      <c r="G379" s="279">
        <v>14000</v>
      </c>
      <c r="H379" s="280">
        <f t="shared" si="5"/>
        <v>11864.406779661018</v>
      </c>
    </row>
    <row r="380" spans="1:8" ht="15" customHeight="1" x14ac:dyDescent="0.25">
      <c r="A380" s="262">
        <v>827</v>
      </c>
      <c r="B380" s="278" t="s">
        <v>1574</v>
      </c>
      <c r="C380" s="278" t="s">
        <v>1575</v>
      </c>
      <c r="D380" s="278" t="s">
        <v>1576</v>
      </c>
      <c r="E380" s="278" t="s">
        <v>461</v>
      </c>
      <c r="F380" s="279">
        <v>2</v>
      </c>
      <c r="G380" s="279">
        <v>4400</v>
      </c>
      <c r="H380" s="280">
        <f t="shared" si="5"/>
        <v>3728.8135593220341</v>
      </c>
    </row>
    <row r="381" spans="1:8" ht="15" customHeight="1" x14ac:dyDescent="0.25">
      <c r="A381" s="262">
        <v>829</v>
      </c>
      <c r="B381" s="278" t="s">
        <v>1577</v>
      </c>
      <c r="C381" s="278" t="s">
        <v>1578</v>
      </c>
      <c r="D381" s="278" t="s">
        <v>1579</v>
      </c>
      <c r="E381" s="278" t="s">
        <v>461</v>
      </c>
      <c r="F381" s="279">
        <v>1</v>
      </c>
      <c r="G381" s="279">
        <v>64400</v>
      </c>
      <c r="H381" s="280">
        <f t="shared" si="5"/>
        <v>54576.271186440681</v>
      </c>
    </row>
    <row r="382" spans="1:8" ht="15" customHeight="1" x14ac:dyDescent="0.25">
      <c r="A382" s="262">
        <v>831</v>
      </c>
      <c r="B382" s="278" t="s">
        <v>1580</v>
      </c>
      <c r="C382" s="278" t="s">
        <v>1581</v>
      </c>
      <c r="D382" s="278" t="s">
        <v>1582</v>
      </c>
      <c r="E382" s="278" t="s">
        <v>461</v>
      </c>
      <c r="F382" s="279">
        <v>27</v>
      </c>
      <c r="G382" s="279">
        <v>11055.42</v>
      </c>
      <c r="H382" s="280">
        <f t="shared" si="5"/>
        <v>9369</v>
      </c>
    </row>
    <row r="383" spans="1:8" ht="15" customHeight="1" x14ac:dyDescent="0.25">
      <c r="A383" s="262">
        <v>833</v>
      </c>
      <c r="B383" s="278" t="s">
        <v>1583</v>
      </c>
      <c r="C383" s="278" t="s">
        <v>1584</v>
      </c>
      <c r="D383" s="278" t="s">
        <v>1585</v>
      </c>
      <c r="E383" s="278" t="s">
        <v>461</v>
      </c>
      <c r="F383" s="279">
        <v>6</v>
      </c>
      <c r="G383" s="279">
        <v>5292</v>
      </c>
      <c r="H383" s="280">
        <f t="shared" si="5"/>
        <v>4484.7457627118647</v>
      </c>
    </row>
    <row r="384" spans="1:8" ht="15" customHeight="1" x14ac:dyDescent="0.25">
      <c r="A384" s="262">
        <v>835</v>
      </c>
      <c r="B384" s="278" t="s">
        <v>1586</v>
      </c>
      <c r="C384" s="278" t="s">
        <v>1587</v>
      </c>
      <c r="D384" s="278" t="s">
        <v>1588</v>
      </c>
      <c r="E384" s="278" t="s">
        <v>461</v>
      </c>
      <c r="F384" s="279">
        <v>3815</v>
      </c>
      <c r="G384" s="279">
        <v>123598.68</v>
      </c>
      <c r="H384" s="280">
        <f t="shared" si="5"/>
        <v>104744.64406779662</v>
      </c>
    </row>
    <row r="385" spans="1:8" ht="15" customHeight="1" x14ac:dyDescent="0.25">
      <c r="A385" s="262">
        <v>837</v>
      </c>
      <c r="B385" s="278" t="s">
        <v>1589</v>
      </c>
      <c r="C385" s="278" t="s">
        <v>1590</v>
      </c>
      <c r="D385" s="278" t="s">
        <v>1591</v>
      </c>
      <c r="E385" s="278" t="s">
        <v>461</v>
      </c>
      <c r="F385" s="279">
        <v>87</v>
      </c>
      <c r="G385" s="279">
        <v>608.77</v>
      </c>
      <c r="H385" s="280">
        <f t="shared" si="5"/>
        <v>515.90677966101691</v>
      </c>
    </row>
    <row r="386" spans="1:8" ht="15" customHeight="1" x14ac:dyDescent="0.25">
      <c r="A386" s="262">
        <v>839</v>
      </c>
      <c r="B386" s="278" t="s">
        <v>1592</v>
      </c>
      <c r="C386" s="278" t="s">
        <v>1593</v>
      </c>
      <c r="D386" s="278" t="s">
        <v>1594</v>
      </c>
      <c r="E386" s="278" t="s">
        <v>461</v>
      </c>
      <c r="F386" s="279">
        <v>30</v>
      </c>
      <c r="G386" s="279">
        <v>267.3</v>
      </c>
      <c r="H386" s="280">
        <f t="shared" si="5"/>
        <v>226.52542372881359</v>
      </c>
    </row>
    <row r="387" spans="1:8" ht="15" customHeight="1" x14ac:dyDescent="0.25">
      <c r="A387" s="262">
        <v>841</v>
      </c>
      <c r="B387" s="278" t="s">
        <v>1595</v>
      </c>
      <c r="C387" s="278" t="s">
        <v>1596</v>
      </c>
      <c r="D387" s="278" t="s">
        <v>1597</v>
      </c>
      <c r="E387" s="278" t="s">
        <v>461</v>
      </c>
      <c r="F387" s="279">
        <v>1</v>
      </c>
      <c r="G387" s="279">
        <v>194.95</v>
      </c>
      <c r="H387" s="280">
        <f t="shared" si="5"/>
        <v>165.21186440677965</v>
      </c>
    </row>
    <row r="388" spans="1:8" ht="15" customHeight="1" x14ac:dyDescent="0.25">
      <c r="A388" s="262">
        <v>843</v>
      </c>
      <c r="B388" s="278" t="s">
        <v>1598</v>
      </c>
      <c r="C388" s="278" t="s">
        <v>1599</v>
      </c>
      <c r="D388" s="278" t="s">
        <v>1600</v>
      </c>
      <c r="E388" s="278" t="s">
        <v>461</v>
      </c>
      <c r="F388" s="279">
        <v>1</v>
      </c>
      <c r="G388" s="279">
        <v>87.32</v>
      </c>
      <c r="H388" s="280">
        <f t="shared" si="5"/>
        <v>74</v>
      </c>
    </row>
    <row r="389" spans="1:8" ht="15" customHeight="1" x14ac:dyDescent="0.25">
      <c r="A389" s="262">
        <v>845</v>
      </c>
      <c r="B389" s="278" t="s">
        <v>1601</v>
      </c>
      <c r="C389" s="278" t="s">
        <v>1602</v>
      </c>
      <c r="D389" s="278" t="s">
        <v>1603</v>
      </c>
      <c r="E389" s="278" t="s">
        <v>461</v>
      </c>
      <c r="F389" s="279">
        <v>20</v>
      </c>
      <c r="G389" s="279">
        <v>80</v>
      </c>
      <c r="H389" s="280">
        <f t="shared" si="5"/>
        <v>67.79661016949153</v>
      </c>
    </row>
    <row r="390" spans="1:8" ht="15" customHeight="1" x14ac:dyDescent="0.25">
      <c r="A390" s="262">
        <v>847</v>
      </c>
      <c r="B390" s="278" t="s">
        <v>1604</v>
      </c>
      <c r="C390" s="278" t="s">
        <v>1605</v>
      </c>
      <c r="D390" s="278" t="s">
        <v>1606</v>
      </c>
      <c r="E390" s="278" t="s">
        <v>461</v>
      </c>
      <c r="F390" s="279">
        <v>5</v>
      </c>
      <c r="G390" s="279">
        <v>53666.400000000001</v>
      </c>
      <c r="H390" s="280">
        <f t="shared" si="5"/>
        <v>45480</v>
      </c>
    </row>
    <row r="391" spans="1:8" ht="15" customHeight="1" x14ac:dyDescent="0.25">
      <c r="A391" s="262">
        <v>849</v>
      </c>
      <c r="B391" s="278" t="s">
        <v>1607</v>
      </c>
      <c r="C391" s="278" t="s">
        <v>1608</v>
      </c>
      <c r="D391" s="278" t="s">
        <v>1609</v>
      </c>
      <c r="E391" s="278" t="s">
        <v>461</v>
      </c>
      <c r="F391" s="279">
        <v>3</v>
      </c>
      <c r="G391" s="279">
        <v>4050</v>
      </c>
      <c r="H391" s="280">
        <f t="shared" ref="H391" si="6">G391/1.18</f>
        <v>3432.2033898305085</v>
      </c>
    </row>
    <row r="392" spans="1:8" ht="15" customHeight="1" x14ac:dyDescent="0.25">
      <c r="A392" s="262">
        <v>851</v>
      </c>
      <c r="B392" s="278" t="s">
        <v>1610</v>
      </c>
      <c r="C392" s="278" t="s">
        <v>1611</v>
      </c>
      <c r="D392" s="278" t="s">
        <v>1612</v>
      </c>
      <c r="E392" s="278" t="s">
        <v>461</v>
      </c>
      <c r="F392" s="278">
        <v>0</v>
      </c>
      <c r="G392" s="279">
        <v>0</v>
      </c>
      <c r="H392" s="278">
        <v>0</v>
      </c>
    </row>
    <row r="393" spans="1:8" ht="15" customHeight="1" x14ac:dyDescent="0.25">
      <c r="A393" s="262">
        <v>853</v>
      </c>
      <c r="B393" s="278" t="s">
        <v>1613</v>
      </c>
      <c r="C393" s="278" t="s">
        <v>1614</v>
      </c>
      <c r="D393" s="278" t="s">
        <v>1615</v>
      </c>
      <c r="E393" s="278" t="s">
        <v>461</v>
      </c>
      <c r="F393" s="279">
        <v>2</v>
      </c>
      <c r="G393" s="279">
        <v>18300</v>
      </c>
      <c r="H393" s="280">
        <f t="shared" ref="H393:H456" si="7">G393/1.18</f>
        <v>15508.474576271186</v>
      </c>
    </row>
    <row r="394" spans="1:8" ht="15" customHeight="1" x14ac:dyDescent="0.25">
      <c r="A394" s="262">
        <v>855</v>
      </c>
      <c r="B394" s="278" t="s">
        <v>1616</v>
      </c>
      <c r="C394" s="278" t="s">
        <v>1617</v>
      </c>
      <c r="D394" s="278" t="s">
        <v>1618</v>
      </c>
      <c r="E394" s="278" t="s">
        <v>461</v>
      </c>
      <c r="F394" s="279">
        <v>3</v>
      </c>
      <c r="G394" s="279">
        <v>885</v>
      </c>
      <c r="H394" s="280">
        <f t="shared" si="7"/>
        <v>750</v>
      </c>
    </row>
    <row r="395" spans="1:8" ht="15" customHeight="1" x14ac:dyDescent="0.25">
      <c r="A395" s="262">
        <v>857</v>
      </c>
      <c r="B395" s="278" t="s">
        <v>1619</v>
      </c>
      <c r="C395" s="278" t="s">
        <v>1620</v>
      </c>
      <c r="D395" s="278" t="s">
        <v>1621</v>
      </c>
      <c r="E395" s="278" t="s">
        <v>461</v>
      </c>
      <c r="F395" s="279">
        <v>900</v>
      </c>
      <c r="G395" s="279">
        <v>9388.08</v>
      </c>
      <c r="H395" s="280">
        <f t="shared" si="7"/>
        <v>7956</v>
      </c>
    </row>
    <row r="396" spans="1:8" ht="15" customHeight="1" x14ac:dyDescent="0.25">
      <c r="A396" s="262">
        <v>859</v>
      </c>
      <c r="B396" s="278" t="s">
        <v>1622</v>
      </c>
      <c r="C396" s="278" t="s">
        <v>1623</v>
      </c>
      <c r="D396" s="278" t="s">
        <v>1624</v>
      </c>
      <c r="E396" s="278" t="s">
        <v>461</v>
      </c>
      <c r="F396" s="279">
        <v>50</v>
      </c>
      <c r="G396" s="279">
        <v>4956</v>
      </c>
      <c r="H396" s="280">
        <f t="shared" si="7"/>
        <v>4200</v>
      </c>
    </row>
    <row r="397" spans="1:8" ht="15" customHeight="1" x14ac:dyDescent="0.25">
      <c r="A397" s="262">
        <v>861</v>
      </c>
      <c r="B397" s="278" t="s">
        <v>1625</v>
      </c>
      <c r="C397" s="278" t="s">
        <v>1626</v>
      </c>
      <c r="D397" s="278" t="s">
        <v>1627</v>
      </c>
      <c r="E397" s="278" t="s">
        <v>461</v>
      </c>
      <c r="F397" s="279">
        <v>7</v>
      </c>
      <c r="G397" s="279">
        <v>2450</v>
      </c>
      <c r="H397" s="280">
        <f t="shared" si="7"/>
        <v>2076.2711864406779</v>
      </c>
    </row>
    <row r="398" spans="1:8" ht="15" customHeight="1" x14ac:dyDescent="0.25">
      <c r="A398" s="262">
        <v>863</v>
      </c>
      <c r="B398" s="278" t="s">
        <v>1628</v>
      </c>
      <c r="C398" s="278" t="s">
        <v>1629</v>
      </c>
      <c r="D398" s="278" t="s">
        <v>1630</v>
      </c>
      <c r="E398" s="278" t="s">
        <v>461</v>
      </c>
      <c r="F398" s="279">
        <v>22</v>
      </c>
      <c r="G398" s="279">
        <v>2200</v>
      </c>
      <c r="H398" s="280">
        <f t="shared" si="7"/>
        <v>1864.406779661017</v>
      </c>
    </row>
    <row r="399" spans="1:8" ht="15" customHeight="1" x14ac:dyDescent="0.25">
      <c r="A399" s="262">
        <v>865</v>
      </c>
      <c r="B399" s="278" t="s">
        <v>1631</v>
      </c>
      <c r="C399" s="278" t="s">
        <v>1632</v>
      </c>
      <c r="D399" s="278" t="s">
        <v>1633</v>
      </c>
      <c r="E399" s="278" t="s">
        <v>461</v>
      </c>
      <c r="F399" s="279">
        <v>10</v>
      </c>
      <c r="G399" s="279">
        <v>1500</v>
      </c>
      <c r="H399" s="280">
        <f t="shared" si="7"/>
        <v>1271.1864406779662</v>
      </c>
    </row>
    <row r="400" spans="1:8" ht="15" customHeight="1" x14ac:dyDescent="0.25">
      <c r="A400" s="262">
        <v>867</v>
      </c>
      <c r="B400" s="278" t="s">
        <v>1634</v>
      </c>
      <c r="C400" s="278" t="s">
        <v>1635</v>
      </c>
      <c r="D400" s="278" t="s">
        <v>1636</v>
      </c>
      <c r="E400" s="278" t="s">
        <v>461</v>
      </c>
      <c r="F400" s="279">
        <v>7</v>
      </c>
      <c r="G400" s="279">
        <v>2520</v>
      </c>
      <c r="H400" s="280">
        <f t="shared" si="7"/>
        <v>2135.593220338983</v>
      </c>
    </row>
    <row r="401" spans="1:8" ht="15" customHeight="1" x14ac:dyDescent="0.25">
      <c r="A401" s="262">
        <v>869</v>
      </c>
      <c r="B401" s="278" t="s">
        <v>1637</v>
      </c>
      <c r="C401" s="278" t="s">
        <v>1638</v>
      </c>
      <c r="D401" s="278" t="s">
        <v>1639</v>
      </c>
      <c r="E401" s="278" t="s">
        <v>461</v>
      </c>
      <c r="F401" s="279">
        <v>9</v>
      </c>
      <c r="G401" s="279">
        <v>3060</v>
      </c>
      <c r="H401" s="280">
        <f t="shared" si="7"/>
        <v>2593.2203389830511</v>
      </c>
    </row>
    <row r="402" spans="1:8" ht="15" customHeight="1" x14ac:dyDescent="0.25">
      <c r="A402" s="262">
        <v>871</v>
      </c>
      <c r="B402" s="278" t="s">
        <v>1640</v>
      </c>
      <c r="C402" s="278" t="s">
        <v>1641</v>
      </c>
      <c r="D402" s="278" t="s">
        <v>1642</v>
      </c>
      <c r="E402" s="278" t="s">
        <v>461</v>
      </c>
      <c r="F402" s="279">
        <v>13</v>
      </c>
      <c r="G402" s="279">
        <v>1444.87</v>
      </c>
      <c r="H402" s="280">
        <f t="shared" si="7"/>
        <v>1224.4661016949153</v>
      </c>
    </row>
    <row r="403" spans="1:8" ht="15" customHeight="1" x14ac:dyDescent="0.25">
      <c r="A403" s="262">
        <v>873</v>
      </c>
      <c r="B403" s="278" t="s">
        <v>1643</v>
      </c>
      <c r="C403" s="278" t="s">
        <v>1644</v>
      </c>
      <c r="D403" s="278" t="s">
        <v>1645</v>
      </c>
      <c r="E403" s="278" t="s">
        <v>461</v>
      </c>
      <c r="F403" s="279">
        <v>6</v>
      </c>
      <c r="G403" s="279">
        <v>720</v>
      </c>
      <c r="H403" s="280">
        <f t="shared" si="7"/>
        <v>610.16949152542372</v>
      </c>
    </row>
    <row r="404" spans="1:8" ht="15" customHeight="1" x14ac:dyDescent="0.25">
      <c r="A404" s="262">
        <v>875</v>
      </c>
      <c r="B404" s="278" t="s">
        <v>1646</v>
      </c>
      <c r="C404" s="278" t="s">
        <v>1647</v>
      </c>
      <c r="D404" s="278" t="s">
        <v>1648</v>
      </c>
      <c r="E404" s="278" t="s">
        <v>461</v>
      </c>
      <c r="F404" s="279">
        <v>9</v>
      </c>
      <c r="G404" s="279">
        <v>765</v>
      </c>
      <c r="H404" s="280">
        <f t="shared" si="7"/>
        <v>648.30508474576277</v>
      </c>
    </row>
    <row r="405" spans="1:8" ht="15" customHeight="1" x14ac:dyDescent="0.25">
      <c r="A405" s="262">
        <v>877</v>
      </c>
      <c r="B405" s="278" t="s">
        <v>1649</v>
      </c>
      <c r="C405" s="278" t="s">
        <v>1650</v>
      </c>
      <c r="D405" s="278" t="s">
        <v>1651</v>
      </c>
      <c r="E405" s="278" t="s">
        <v>461</v>
      </c>
      <c r="F405" s="279">
        <v>13</v>
      </c>
      <c r="G405" s="279">
        <v>3900</v>
      </c>
      <c r="H405" s="280">
        <f t="shared" si="7"/>
        <v>3305.0847457627119</v>
      </c>
    </row>
    <row r="406" spans="1:8" ht="15" customHeight="1" x14ac:dyDescent="0.25">
      <c r="A406" s="262">
        <v>879</v>
      </c>
      <c r="B406" s="278" t="s">
        <v>1652</v>
      </c>
      <c r="C406" s="278" t="s">
        <v>1653</v>
      </c>
      <c r="D406" s="278" t="s">
        <v>1654</v>
      </c>
      <c r="E406" s="278" t="s">
        <v>461</v>
      </c>
      <c r="F406" s="279">
        <v>13</v>
      </c>
      <c r="G406" s="279">
        <v>3900</v>
      </c>
      <c r="H406" s="280">
        <f t="shared" si="7"/>
        <v>3305.0847457627119</v>
      </c>
    </row>
    <row r="407" spans="1:8" ht="15" customHeight="1" x14ac:dyDescent="0.25">
      <c r="A407" s="262">
        <v>881</v>
      </c>
      <c r="B407" s="278" t="s">
        <v>1655</v>
      </c>
      <c r="C407" s="278" t="s">
        <v>1656</v>
      </c>
      <c r="D407" s="278" t="s">
        <v>1657</v>
      </c>
      <c r="E407" s="278" t="s">
        <v>461</v>
      </c>
      <c r="F407" s="279">
        <v>3</v>
      </c>
      <c r="G407" s="279">
        <v>1125</v>
      </c>
      <c r="H407" s="280">
        <f t="shared" si="7"/>
        <v>953.38983050847457</v>
      </c>
    </row>
    <row r="408" spans="1:8" ht="15" customHeight="1" x14ac:dyDescent="0.25">
      <c r="A408" s="262">
        <v>883</v>
      </c>
      <c r="B408" s="278" t="s">
        <v>1658</v>
      </c>
      <c r="C408" s="278" t="s">
        <v>1659</v>
      </c>
      <c r="D408" s="278" t="s">
        <v>1660</v>
      </c>
      <c r="E408" s="278" t="s">
        <v>461</v>
      </c>
      <c r="F408" s="279">
        <v>8</v>
      </c>
      <c r="G408" s="279">
        <v>1132.8</v>
      </c>
      <c r="H408" s="280">
        <f t="shared" si="7"/>
        <v>960</v>
      </c>
    </row>
    <row r="409" spans="1:8" ht="15" customHeight="1" x14ac:dyDescent="0.25">
      <c r="A409" s="262">
        <v>885</v>
      </c>
      <c r="B409" s="278" t="s">
        <v>1661</v>
      </c>
      <c r="C409" s="278" t="s">
        <v>1662</v>
      </c>
      <c r="D409" s="278" t="s">
        <v>1663</v>
      </c>
      <c r="E409" s="278" t="s">
        <v>461</v>
      </c>
      <c r="F409" s="279">
        <v>6</v>
      </c>
      <c r="G409" s="279">
        <v>450</v>
      </c>
      <c r="H409" s="280">
        <f t="shared" si="7"/>
        <v>381.35593220338984</v>
      </c>
    </row>
    <row r="410" spans="1:8" ht="15" customHeight="1" x14ac:dyDescent="0.25">
      <c r="A410" s="262">
        <v>887</v>
      </c>
      <c r="B410" s="278" t="s">
        <v>1664</v>
      </c>
      <c r="C410" s="278" t="s">
        <v>1665</v>
      </c>
      <c r="D410" s="278" t="s">
        <v>1666</v>
      </c>
      <c r="E410" s="278" t="s">
        <v>461</v>
      </c>
      <c r="F410" s="279">
        <v>36</v>
      </c>
      <c r="G410" s="279">
        <v>5947.2</v>
      </c>
      <c r="H410" s="280">
        <f t="shared" si="7"/>
        <v>5040</v>
      </c>
    </row>
    <row r="411" spans="1:8" ht="15" customHeight="1" x14ac:dyDescent="0.25">
      <c r="A411" s="262">
        <v>889</v>
      </c>
      <c r="B411" s="278" t="s">
        <v>1667</v>
      </c>
      <c r="C411" s="278" t="s">
        <v>1668</v>
      </c>
      <c r="D411" s="278" t="s">
        <v>1669</v>
      </c>
      <c r="E411" s="278" t="s">
        <v>461</v>
      </c>
      <c r="F411" s="279">
        <v>2</v>
      </c>
      <c r="G411" s="279">
        <v>1400</v>
      </c>
      <c r="H411" s="280">
        <f t="shared" si="7"/>
        <v>1186.4406779661017</v>
      </c>
    </row>
    <row r="412" spans="1:8" ht="15" customHeight="1" x14ac:dyDescent="0.25">
      <c r="A412" s="262">
        <v>891</v>
      </c>
      <c r="B412" s="278" t="s">
        <v>1670</v>
      </c>
      <c r="C412" s="278" t="s">
        <v>1671</v>
      </c>
      <c r="D412" s="278" t="s">
        <v>1672</v>
      </c>
      <c r="E412" s="278" t="s">
        <v>461</v>
      </c>
      <c r="F412" s="279">
        <v>70</v>
      </c>
      <c r="G412" s="279">
        <v>420</v>
      </c>
      <c r="H412" s="280">
        <f t="shared" si="7"/>
        <v>355.93220338983053</v>
      </c>
    </row>
    <row r="413" spans="1:8" ht="15" customHeight="1" x14ac:dyDescent="0.25">
      <c r="A413" s="262">
        <v>893</v>
      </c>
      <c r="B413" s="278" t="s">
        <v>1673</v>
      </c>
      <c r="C413" s="278" t="s">
        <v>1674</v>
      </c>
      <c r="D413" s="278" t="s">
        <v>1675</v>
      </c>
      <c r="E413" s="278" t="s">
        <v>461</v>
      </c>
      <c r="F413" s="279">
        <v>10</v>
      </c>
      <c r="G413" s="279">
        <v>10</v>
      </c>
      <c r="H413" s="280">
        <f t="shared" si="7"/>
        <v>8.4745762711864412</v>
      </c>
    </row>
    <row r="414" spans="1:8" ht="15" customHeight="1" x14ac:dyDescent="0.25">
      <c r="A414" s="262">
        <v>895</v>
      </c>
      <c r="B414" s="278" t="s">
        <v>1676</v>
      </c>
      <c r="C414" s="278" t="s">
        <v>1677</v>
      </c>
      <c r="D414" s="278" t="s">
        <v>1678</v>
      </c>
      <c r="E414" s="278" t="s">
        <v>461</v>
      </c>
      <c r="F414" s="279">
        <v>2</v>
      </c>
      <c r="G414" s="279">
        <v>4720</v>
      </c>
      <c r="H414" s="280">
        <f t="shared" si="7"/>
        <v>4000</v>
      </c>
    </row>
    <row r="415" spans="1:8" ht="15" customHeight="1" x14ac:dyDescent="0.25">
      <c r="A415" s="262">
        <v>897</v>
      </c>
      <c r="B415" s="278" t="s">
        <v>1679</v>
      </c>
      <c r="C415" s="278" t="s">
        <v>1680</v>
      </c>
      <c r="D415" s="278" t="s">
        <v>1681</v>
      </c>
      <c r="E415" s="278" t="s">
        <v>461</v>
      </c>
      <c r="F415" s="279">
        <v>4</v>
      </c>
      <c r="G415" s="279">
        <v>40</v>
      </c>
      <c r="H415" s="280">
        <f t="shared" si="7"/>
        <v>33.898305084745765</v>
      </c>
    </row>
    <row r="416" spans="1:8" ht="15" customHeight="1" x14ac:dyDescent="0.25">
      <c r="A416" s="262">
        <v>899</v>
      </c>
      <c r="B416" s="278" t="s">
        <v>1682</v>
      </c>
      <c r="C416" s="278" t="s">
        <v>1683</v>
      </c>
      <c r="D416" s="278" t="s">
        <v>1684</v>
      </c>
      <c r="E416" s="278" t="s">
        <v>461</v>
      </c>
      <c r="F416" s="279">
        <v>980</v>
      </c>
      <c r="G416" s="279">
        <v>33535.599999999999</v>
      </c>
      <c r="H416" s="280">
        <f t="shared" si="7"/>
        <v>28420</v>
      </c>
    </row>
    <row r="417" spans="1:11" ht="15" customHeight="1" x14ac:dyDescent="0.25">
      <c r="A417" s="262">
        <v>901</v>
      </c>
      <c r="B417" s="278" t="s">
        <v>1685</v>
      </c>
      <c r="C417" s="278" t="s">
        <v>1686</v>
      </c>
      <c r="D417" s="278" t="s">
        <v>1687</v>
      </c>
      <c r="E417" s="278" t="s">
        <v>461</v>
      </c>
      <c r="F417" s="279">
        <v>18</v>
      </c>
      <c r="G417" s="279">
        <v>2700</v>
      </c>
      <c r="H417" s="280">
        <f t="shared" si="7"/>
        <v>2288.1355932203392</v>
      </c>
    </row>
    <row r="418" spans="1:11" ht="15" customHeight="1" x14ac:dyDescent="0.25">
      <c r="A418" s="262">
        <v>903</v>
      </c>
      <c r="B418" s="278" t="s">
        <v>1688</v>
      </c>
      <c r="C418" s="278" t="s">
        <v>1689</v>
      </c>
      <c r="D418" s="278" t="s">
        <v>1690</v>
      </c>
      <c r="E418" s="278" t="s">
        <v>461</v>
      </c>
      <c r="F418" s="279">
        <v>200</v>
      </c>
      <c r="G418" s="279">
        <v>400</v>
      </c>
      <c r="H418" s="280">
        <f t="shared" si="7"/>
        <v>338.98305084745766</v>
      </c>
    </row>
    <row r="419" spans="1:11" ht="15" customHeight="1" x14ac:dyDescent="0.25">
      <c r="A419" s="262">
        <v>905</v>
      </c>
      <c r="B419" s="278" t="s">
        <v>1691</v>
      </c>
      <c r="C419" s="278" t="s">
        <v>1692</v>
      </c>
      <c r="D419" s="278" t="s">
        <v>1693</v>
      </c>
      <c r="E419" s="278" t="s">
        <v>461</v>
      </c>
      <c r="F419" s="279">
        <v>100</v>
      </c>
      <c r="G419" s="279">
        <v>100</v>
      </c>
      <c r="H419" s="280">
        <f t="shared" si="7"/>
        <v>84.745762711864415</v>
      </c>
    </row>
    <row r="420" spans="1:11" ht="15" customHeight="1" x14ac:dyDescent="0.25">
      <c r="A420" s="262">
        <v>907</v>
      </c>
      <c r="B420" s="278" t="s">
        <v>1694</v>
      </c>
      <c r="C420" s="278" t="s">
        <v>1695</v>
      </c>
      <c r="D420" s="278" t="s">
        <v>1696</v>
      </c>
      <c r="E420" s="278" t="s">
        <v>461</v>
      </c>
      <c r="F420" s="279">
        <v>10</v>
      </c>
      <c r="G420" s="279">
        <v>650</v>
      </c>
      <c r="H420" s="280">
        <f t="shared" si="7"/>
        <v>550.84745762711873</v>
      </c>
    </row>
    <row r="421" spans="1:11" ht="15" customHeight="1" x14ac:dyDescent="0.25">
      <c r="A421" s="262">
        <v>909</v>
      </c>
      <c r="B421" s="278" t="s">
        <v>1697</v>
      </c>
      <c r="C421" s="278" t="s">
        <v>1698</v>
      </c>
      <c r="D421" s="278" t="s">
        <v>1699</v>
      </c>
      <c r="E421" s="278" t="s">
        <v>461</v>
      </c>
      <c r="F421" s="279">
        <v>7</v>
      </c>
      <c r="G421" s="279">
        <v>6401.5</v>
      </c>
      <c r="H421" s="280">
        <f t="shared" si="7"/>
        <v>5425</v>
      </c>
    </row>
    <row r="422" spans="1:11" ht="15" customHeight="1" x14ac:dyDescent="0.25">
      <c r="A422" s="262">
        <v>911</v>
      </c>
      <c r="B422" s="278" t="s">
        <v>1700</v>
      </c>
      <c r="C422" s="278" t="s">
        <v>1701</v>
      </c>
      <c r="D422" s="278" t="s">
        <v>1702</v>
      </c>
      <c r="E422" s="278" t="s">
        <v>461</v>
      </c>
      <c r="F422" s="279">
        <v>216</v>
      </c>
      <c r="G422" s="279">
        <v>5097.6000000000004</v>
      </c>
      <c r="H422" s="280">
        <f t="shared" si="7"/>
        <v>4320.0000000000009</v>
      </c>
    </row>
    <row r="423" spans="1:11" ht="15" customHeight="1" x14ac:dyDescent="0.25">
      <c r="A423" s="262">
        <v>913</v>
      </c>
      <c r="B423" s="278" t="s">
        <v>1703</v>
      </c>
      <c r="C423" s="278" t="s">
        <v>1704</v>
      </c>
      <c r="D423" s="278" t="s">
        <v>1705</v>
      </c>
      <c r="E423" s="278" t="s">
        <v>461</v>
      </c>
      <c r="F423" s="279">
        <v>12</v>
      </c>
      <c r="G423" s="279">
        <v>826.26</v>
      </c>
      <c r="H423" s="280">
        <f t="shared" si="7"/>
        <v>700.22033898305085</v>
      </c>
    </row>
    <row r="424" spans="1:11" ht="15" customHeight="1" x14ac:dyDescent="0.25">
      <c r="A424" s="262">
        <v>915</v>
      </c>
      <c r="B424" s="278" t="s">
        <v>1706</v>
      </c>
      <c r="C424" s="278" t="s">
        <v>1707</v>
      </c>
      <c r="D424" s="278" t="s">
        <v>1708</v>
      </c>
      <c r="E424" s="278" t="s">
        <v>461</v>
      </c>
      <c r="F424" s="279">
        <v>14</v>
      </c>
      <c r="G424" s="279">
        <v>2643.2</v>
      </c>
      <c r="H424" s="280">
        <f t="shared" si="7"/>
        <v>2240</v>
      </c>
    </row>
    <row r="425" spans="1:11" ht="15" customHeight="1" x14ac:dyDescent="0.25">
      <c r="A425" s="262">
        <v>917</v>
      </c>
      <c r="B425" s="278" t="s">
        <v>1709</v>
      </c>
      <c r="C425" s="278" t="s">
        <v>1710</v>
      </c>
      <c r="D425" s="278" t="s">
        <v>1711</v>
      </c>
      <c r="E425" s="278" t="s">
        <v>461</v>
      </c>
      <c r="F425" s="279">
        <v>4</v>
      </c>
      <c r="G425" s="279">
        <v>684.4</v>
      </c>
      <c r="H425" s="280">
        <f t="shared" si="7"/>
        <v>580</v>
      </c>
    </row>
    <row r="426" spans="1:11" ht="15" customHeight="1" x14ac:dyDescent="0.25">
      <c r="A426" s="262">
        <v>919</v>
      </c>
      <c r="B426" s="278" t="s">
        <v>1712</v>
      </c>
      <c r="C426" s="278" t="s">
        <v>1713</v>
      </c>
      <c r="D426" s="278" t="s">
        <v>1714</v>
      </c>
      <c r="E426" s="278" t="s">
        <v>461</v>
      </c>
      <c r="F426" s="279">
        <v>2</v>
      </c>
      <c r="G426" s="279">
        <v>2449.6799999999998</v>
      </c>
      <c r="H426" s="280">
        <f t="shared" si="7"/>
        <v>2076</v>
      </c>
      <c r="K426" s="262" t="s">
        <v>453</v>
      </c>
    </row>
    <row r="427" spans="1:11" ht="15" customHeight="1" x14ac:dyDescent="0.25">
      <c r="A427" s="262">
        <v>937</v>
      </c>
      <c r="B427" s="278" t="s">
        <v>1715</v>
      </c>
      <c r="C427" s="278" t="s">
        <v>1716</v>
      </c>
      <c r="D427" s="278" t="s">
        <v>1717</v>
      </c>
      <c r="E427" s="278" t="s">
        <v>461</v>
      </c>
      <c r="F427" s="279">
        <v>8</v>
      </c>
      <c r="G427" s="279">
        <v>368.16</v>
      </c>
      <c r="H427" s="280">
        <f t="shared" si="7"/>
        <v>312.00000000000006</v>
      </c>
    </row>
    <row r="428" spans="1:11" ht="15" customHeight="1" x14ac:dyDescent="0.25">
      <c r="A428" s="262">
        <v>939</v>
      </c>
      <c r="B428" s="278" t="s">
        <v>1718</v>
      </c>
      <c r="C428" s="278" t="s">
        <v>1719</v>
      </c>
      <c r="D428" s="278" t="s">
        <v>1720</v>
      </c>
      <c r="E428" s="278" t="s">
        <v>461</v>
      </c>
      <c r="F428" s="279">
        <v>29</v>
      </c>
      <c r="G428" s="279">
        <v>974.25</v>
      </c>
      <c r="H428" s="280">
        <f t="shared" si="7"/>
        <v>825.63559322033905</v>
      </c>
    </row>
    <row r="429" spans="1:11" ht="15" customHeight="1" x14ac:dyDescent="0.25">
      <c r="A429" s="262">
        <v>941</v>
      </c>
      <c r="B429" s="278" t="s">
        <v>1721</v>
      </c>
      <c r="C429" s="278" t="s">
        <v>1722</v>
      </c>
      <c r="D429" s="278" t="s">
        <v>1723</v>
      </c>
      <c r="E429" s="278" t="s">
        <v>461</v>
      </c>
      <c r="F429" s="279">
        <v>4</v>
      </c>
      <c r="G429" s="279">
        <v>860</v>
      </c>
      <c r="H429" s="280">
        <f t="shared" si="7"/>
        <v>728.81355932203394</v>
      </c>
    </row>
    <row r="430" spans="1:11" ht="15" customHeight="1" x14ac:dyDescent="0.25">
      <c r="A430" s="262">
        <v>943</v>
      </c>
      <c r="B430" s="278" t="s">
        <v>1724</v>
      </c>
      <c r="C430" s="278" t="s">
        <v>1725</v>
      </c>
      <c r="D430" s="278" t="s">
        <v>1726</v>
      </c>
      <c r="E430" s="278" t="s">
        <v>461</v>
      </c>
      <c r="F430" s="279">
        <v>2</v>
      </c>
      <c r="G430" s="279">
        <v>3528.2</v>
      </c>
      <c r="H430" s="280">
        <f t="shared" si="7"/>
        <v>2990</v>
      </c>
    </row>
    <row r="431" spans="1:11" ht="15" customHeight="1" x14ac:dyDescent="0.25">
      <c r="A431" s="262">
        <v>945</v>
      </c>
      <c r="B431" s="278" t="s">
        <v>1727</v>
      </c>
      <c r="C431" s="278" t="s">
        <v>1728</v>
      </c>
      <c r="D431" s="278" t="s">
        <v>1729</v>
      </c>
      <c r="E431" s="278" t="s">
        <v>461</v>
      </c>
      <c r="F431" s="279">
        <v>6</v>
      </c>
      <c r="G431" s="279">
        <v>2053.1999999999998</v>
      </c>
      <c r="H431" s="280">
        <f t="shared" si="7"/>
        <v>1740</v>
      </c>
    </row>
    <row r="432" spans="1:11" ht="15" customHeight="1" x14ac:dyDescent="0.25">
      <c r="A432" s="262">
        <v>947</v>
      </c>
      <c r="B432" s="278" t="s">
        <v>1730</v>
      </c>
      <c r="C432" s="278" t="s">
        <v>1731</v>
      </c>
      <c r="D432" s="278" t="s">
        <v>1732</v>
      </c>
      <c r="E432" s="278" t="s">
        <v>461</v>
      </c>
      <c r="F432" s="279">
        <v>195</v>
      </c>
      <c r="G432" s="279">
        <v>12655.5</v>
      </c>
      <c r="H432" s="280">
        <f t="shared" si="7"/>
        <v>10725</v>
      </c>
    </row>
    <row r="433" spans="1:8" ht="15" customHeight="1" x14ac:dyDescent="0.25">
      <c r="A433" s="262">
        <v>949</v>
      </c>
      <c r="B433" s="278" t="s">
        <v>1733</v>
      </c>
      <c r="C433" s="278" t="s">
        <v>1734</v>
      </c>
      <c r="D433" s="278" t="s">
        <v>1735</v>
      </c>
      <c r="E433" s="278" t="s">
        <v>461</v>
      </c>
      <c r="F433" s="279">
        <v>20</v>
      </c>
      <c r="G433" s="279">
        <v>3398.4</v>
      </c>
      <c r="H433" s="280">
        <f t="shared" si="7"/>
        <v>2880.0000000000005</v>
      </c>
    </row>
    <row r="434" spans="1:8" ht="15" customHeight="1" x14ac:dyDescent="0.25">
      <c r="A434" s="262">
        <v>951</v>
      </c>
      <c r="B434" s="278" t="s">
        <v>1736</v>
      </c>
      <c r="C434" s="278" t="s">
        <v>1737</v>
      </c>
      <c r="D434" s="278" t="s">
        <v>1738</v>
      </c>
      <c r="E434" s="278" t="s">
        <v>461</v>
      </c>
      <c r="F434" s="279">
        <v>3</v>
      </c>
      <c r="G434" s="279">
        <v>5756.4</v>
      </c>
      <c r="H434" s="280">
        <f t="shared" si="7"/>
        <v>4878.3050847457625</v>
      </c>
    </row>
    <row r="435" spans="1:8" ht="15" customHeight="1" x14ac:dyDescent="0.25">
      <c r="A435" s="262">
        <v>953</v>
      </c>
      <c r="B435" s="278" t="s">
        <v>1739</v>
      </c>
      <c r="C435" s="278" t="s">
        <v>1740</v>
      </c>
      <c r="D435" s="278" t="s">
        <v>1741</v>
      </c>
      <c r="E435" s="278" t="s">
        <v>461</v>
      </c>
      <c r="F435" s="279">
        <v>23</v>
      </c>
      <c r="G435" s="279">
        <v>1791.24</v>
      </c>
      <c r="H435" s="280">
        <f t="shared" si="7"/>
        <v>1518</v>
      </c>
    </row>
    <row r="436" spans="1:8" ht="15" customHeight="1" x14ac:dyDescent="0.25">
      <c r="A436" s="262">
        <v>955</v>
      </c>
      <c r="B436" s="278" t="s">
        <v>1742</v>
      </c>
      <c r="C436" s="278" t="s">
        <v>1743</v>
      </c>
      <c r="D436" s="278" t="s">
        <v>1744</v>
      </c>
      <c r="E436" s="278" t="s">
        <v>461</v>
      </c>
      <c r="F436" s="279">
        <v>6</v>
      </c>
      <c r="G436" s="279">
        <v>763.93</v>
      </c>
      <c r="H436" s="280">
        <f t="shared" si="7"/>
        <v>647.39830508474574</v>
      </c>
    </row>
    <row r="437" spans="1:8" ht="15" customHeight="1" x14ac:dyDescent="0.25">
      <c r="A437" s="262">
        <v>957</v>
      </c>
      <c r="B437" s="278" t="s">
        <v>1745</v>
      </c>
      <c r="C437" s="278" t="s">
        <v>1746</v>
      </c>
      <c r="D437" s="278" t="s">
        <v>1747</v>
      </c>
      <c r="E437" s="278" t="s">
        <v>461</v>
      </c>
      <c r="F437" s="279">
        <v>6</v>
      </c>
      <c r="G437" s="279">
        <v>3518.76</v>
      </c>
      <c r="H437" s="280">
        <f t="shared" si="7"/>
        <v>2982.0000000000005</v>
      </c>
    </row>
    <row r="438" spans="1:8" ht="15" customHeight="1" x14ac:dyDescent="0.25">
      <c r="A438" s="262">
        <v>959</v>
      </c>
      <c r="B438" s="278" t="s">
        <v>1748</v>
      </c>
      <c r="C438" s="278" t="s">
        <v>1749</v>
      </c>
      <c r="D438" s="278" t="s">
        <v>1750</v>
      </c>
      <c r="E438" s="278" t="s">
        <v>461</v>
      </c>
      <c r="F438" s="279">
        <v>10</v>
      </c>
      <c r="G438" s="279">
        <v>2466.1999999999998</v>
      </c>
      <c r="H438" s="280">
        <f t="shared" si="7"/>
        <v>2090</v>
      </c>
    </row>
    <row r="439" spans="1:8" ht="15" customHeight="1" x14ac:dyDescent="0.25">
      <c r="A439" s="262">
        <v>961</v>
      </c>
      <c r="B439" s="278" t="s">
        <v>1751</v>
      </c>
      <c r="C439" s="278" t="s">
        <v>1752</v>
      </c>
      <c r="D439" s="278" t="s">
        <v>1753</v>
      </c>
      <c r="E439" s="278" t="s">
        <v>461</v>
      </c>
      <c r="F439" s="279">
        <v>32</v>
      </c>
      <c r="G439" s="279">
        <v>17180.8</v>
      </c>
      <c r="H439" s="280">
        <f t="shared" si="7"/>
        <v>14560</v>
      </c>
    </row>
    <row r="440" spans="1:8" ht="15" customHeight="1" x14ac:dyDescent="0.25">
      <c r="A440" s="262">
        <v>963</v>
      </c>
      <c r="B440" s="278" t="s">
        <v>1754</v>
      </c>
      <c r="C440" s="278" t="s">
        <v>1755</v>
      </c>
      <c r="D440" s="278" t="s">
        <v>1756</v>
      </c>
      <c r="E440" s="278" t="s">
        <v>461</v>
      </c>
      <c r="F440" s="279">
        <v>1</v>
      </c>
      <c r="G440" s="279">
        <v>277.3</v>
      </c>
      <c r="H440" s="280">
        <f t="shared" si="7"/>
        <v>235.00000000000003</v>
      </c>
    </row>
    <row r="441" spans="1:8" ht="15" customHeight="1" x14ac:dyDescent="0.25">
      <c r="A441" s="262">
        <v>965</v>
      </c>
      <c r="B441" s="278" t="s">
        <v>1757</v>
      </c>
      <c r="C441" s="278" t="s">
        <v>1758</v>
      </c>
      <c r="D441" s="278" t="s">
        <v>1759</v>
      </c>
      <c r="E441" s="278" t="s">
        <v>461</v>
      </c>
      <c r="F441" s="279">
        <v>1</v>
      </c>
      <c r="G441" s="279">
        <v>10277.799999999999</v>
      </c>
      <c r="H441" s="280">
        <f t="shared" si="7"/>
        <v>8710</v>
      </c>
    </row>
    <row r="442" spans="1:8" ht="15" customHeight="1" x14ac:dyDescent="0.25">
      <c r="A442" s="262">
        <v>967</v>
      </c>
      <c r="B442" s="278" t="s">
        <v>1760</v>
      </c>
      <c r="C442" s="278" t="s">
        <v>1761</v>
      </c>
      <c r="D442" s="278" t="s">
        <v>1762</v>
      </c>
      <c r="E442" s="278" t="s">
        <v>461</v>
      </c>
      <c r="F442" s="279">
        <v>4</v>
      </c>
      <c r="G442" s="279">
        <v>118</v>
      </c>
      <c r="H442" s="280">
        <f t="shared" si="7"/>
        <v>100</v>
      </c>
    </row>
    <row r="443" spans="1:8" ht="15" customHeight="1" x14ac:dyDescent="0.25">
      <c r="A443" s="262">
        <v>969</v>
      </c>
      <c r="B443" s="278" t="s">
        <v>1763</v>
      </c>
      <c r="C443" s="278" t="s">
        <v>1764</v>
      </c>
      <c r="D443" s="278" t="s">
        <v>1765</v>
      </c>
      <c r="E443" s="278" t="s">
        <v>461</v>
      </c>
      <c r="F443" s="279">
        <v>7</v>
      </c>
      <c r="G443" s="279">
        <v>39648</v>
      </c>
      <c r="H443" s="280">
        <f t="shared" si="7"/>
        <v>33600</v>
      </c>
    </row>
    <row r="444" spans="1:8" ht="15" customHeight="1" x14ac:dyDescent="0.25">
      <c r="A444" s="262">
        <v>971</v>
      </c>
      <c r="B444" s="278" t="s">
        <v>1766</v>
      </c>
      <c r="C444" s="278" t="s">
        <v>1767</v>
      </c>
      <c r="D444" s="278" t="s">
        <v>1768</v>
      </c>
      <c r="E444" s="278" t="s">
        <v>461</v>
      </c>
      <c r="F444" s="279">
        <v>1</v>
      </c>
      <c r="G444" s="279">
        <v>377.6</v>
      </c>
      <c r="H444" s="280">
        <f t="shared" si="7"/>
        <v>320.00000000000006</v>
      </c>
    </row>
    <row r="445" spans="1:8" ht="15" customHeight="1" x14ac:dyDescent="0.25">
      <c r="A445" s="262">
        <v>973</v>
      </c>
      <c r="B445" s="278" t="s">
        <v>1769</v>
      </c>
      <c r="C445" s="278" t="s">
        <v>1770</v>
      </c>
      <c r="D445" s="278" t="s">
        <v>1771</v>
      </c>
      <c r="E445" s="278" t="s">
        <v>461</v>
      </c>
      <c r="F445" s="279">
        <v>15</v>
      </c>
      <c r="G445" s="279">
        <v>8771.7000000000007</v>
      </c>
      <c r="H445" s="280">
        <f t="shared" si="7"/>
        <v>7433.6440677966111</v>
      </c>
    </row>
    <row r="446" spans="1:8" ht="15" customHeight="1" x14ac:dyDescent="0.25">
      <c r="A446" s="262">
        <v>975</v>
      </c>
      <c r="B446" s="278" t="s">
        <v>1772</v>
      </c>
      <c r="C446" s="278" t="s">
        <v>1773</v>
      </c>
      <c r="D446" s="278" t="s">
        <v>1774</v>
      </c>
      <c r="E446" s="278" t="s">
        <v>461</v>
      </c>
      <c r="F446" s="279">
        <v>56</v>
      </c>
      <c r="G446" s="279">
        <v>65974.27</v>
      </c>
      <c r="H446" s="280">
        <f t="shared" si="7"/>
        <v>55910.398305084753</v>
      </c>
    </row>
    <row r="447" spans="1:8" ht="15" customHeight="1" x14ac:dyDescent="0.25">
      <c r="A447" s="262">
        <v>977</v>
      </c>
      <c r="B447" s="278" t="s">
        <v>1775</v>
      </c>
      <c r="C447" s="278" t="s">
        <v>1776</v>
      </c>
      <c r="D447" s="278" t="s">
        <v>1777</v>
      </c>
      <c r="E447" s="278" t="s">
        <v>461</v>
      </c>
      <c r="F447" s="279">
        <v>7</v>
      </c>
      <c r="G447" s="279">
        <v>13744.64</v>
      </c>
      <c r="H447" s="280">
        <f t="shared" si="7"/>
        <v>11648</v>
      </c>
    </row>
    <row r="448" spans="1:8" ht="15" customHeight="1" x14ac:dyDescent="0.25">
      <c r="A448" s="262">
        <v>979</v>
      </c>
      <c r="B448" s="278" t="s">
        <v>1778</v>
      </c>
      <c r="C448" s="278" t="s">
        <v>1779</v>
      </c>
      <c r="D448" s="278" t="s">
        <v>1780</v>
      </c>
      <c r="E448" s="278" t="s">
        <v>461</v>
      </c>
      <c r="F448" s="279">
        <v>64</v>
      </c>
      <c r="G448" s="279">
        <v>115515.52</v>
      </c>
      <c r="H448" s="280">
        <f t="shared" si="7"/>
        <v>97894.508474576287</v>
      </c>
    </row>
    <row r="449" spans="1:8" ht="15" customHeight="1" x14ac:dyDescent="0.25">
      <c r="A449" s="262">
        <v>981</v>
      </c>
      <c r="B449" s="278" t="s">
        <v>1781</v>
      </c>
      <c r="C449" s="278" t="s">
        <v>1782</v>
      </c>
      <c r="D449" s="278" t="s">
        <v>1783</v>
      </c>
      <c r="E449" s="278" t="s">
        <v>461</v>
      </c>
      <c r="F449" s="279">
        <v>1</v>
      </c>
      <c r="G449" s="279">
        <v>1992.6</v>
      </c>
      <c r="H449" s="280">
        <f t="shared" si="7"/>
        <v>1688.6440677966102</v>
      </c>
    </row>
    <row r="450" spans="1:8" ht="15" customHeight="1" x14ac:dyDescent="0.25">
      <c r="A450" s="262">
        <v>983</v>
      </c>
      <c r="B450" s="278" t="s">
        <v>1784</v>
      </c>
      <c r="C450" s="278" t="s">
        <v>1785</v>
      </c>
      <c r="D450" s="278" t="s">
        <v>1786</v>
      </c>
      <c r="E450" s="278" t="s">
        <v>461</v>
      </c>
      <c r="F450" s="279">
        <v>11</v>
      </c>
      <c r="G450" s="279">
        <v>13789.95</v>
      </c>
      <c r="H450" s="280">
        <f t="shared" si="7"/>
        <v>11686.398305084747</v>
      </c>
    </row>
    <row r="451" spans="1:8" ht="15" customHeight="1" x14ac:dyDescent="0.25">
      <c r="A451" s="262">
        <v>985</v>
      </c>
      <c r="B451" s="278" t="s">
        <v>1787</v>
      </c>
      <c r="C451" s="278" t="s">
        <v>1788</v>
      </c>
      <c r="D451" s="278" t="s">
        <v>1789</v>
      </c>
      <c r="E451" s="278" t="s">
        <v>461</v>
      </c>
      <c r="F451" s="279">
        <v>13</v>
      </c>
      <c r="G451" s="279">
        <v>30140.03</v>
      </c>
      <c r="H451" s="280">
        <f t="shared" si="7"/>
        <v>25542.398305084746</v>
      </c>
    </row>
    <row r="452" spans="1:8" ht="15" customHeight="1" x14ac:dyDescent="0.25">
      <c r="A452" s="262">
        <v>987</v>
      </c>
      <c r="B452" s="278" t="s">
        <v>1790</v>
      </c>
      <c r="C452" s="278" t="s">
        <v>1791</v>
      </c>
      <c r="D452" s="278" t="s">
        <v>1792</v>
      </c>
      <c r="E452" s="278" t="s">
        <v>461</v>
      </c>
      <c r="F452" s="279">
        <v>12</v>
      </c>
      <c r="G452" s="279">
        <v>1982.4</v>
      </c>
      <c r="H452" s="280">
        <f t="shared" si="7"/>
        <v>1680.0000000000002</v>
      </c>
    </row>
    <row r="453" spans="1:8" ht="15" customHeight="1" x14ac:dyDescent="0.25">
      <c r="A453" s="262">
        <v>989</v>
      </c>
      <c r="B453" s="278" t="s">
        <v>1793</v>
      </c>
      <c r="C453" s="278" t="s">
        <v>1794</v>
      </c>
      <c r="D453" s="278" t="s">
        <v>1795</v>
      </c>
      <c r="E453" s="278" t="s">
        <v>461</v>
      </c>
      <c r="F453" s="279">
        <v>12</v>
      </c>
      <c r="G453" s="279">
        <v>2279.7600000000002</v>
      </c>
      <c r="H453" s="280">
        <f t="shared" si="7"/>
        <v>1932.0000000000002</v>
      </c>
    </row>
    <row r="454" spans="1:8" ht="15" customHeight="1" x14ac:dyDescent="0.25">
      <c r="A454" s="262">
        <v>991</v>
      </c>
      <c r="B454" s="278" t="s">
        <v>1796</v>
      </c>
      <c r="C454" s="278" t="s">
        <v>1797</v>
      </c>
      <c r="D454" s="278" t="s">
        <v>1798</v>
      </c>
      <c r="E454" s="278" t="s">
        <v>461</v>
      </c>
      <c r="F454" s="279">
        <v>8</v>
      </c>
      <c r="G454" s="279">
        <v>1359.36</v>
      </c>
      <c r="H454" s="280">
        <f t="shared" si="7"/>
        <v>1152</v>
      </c>
    </row>
    <row r="455" spans="1:8" ht="15" customHeight="1" x14ac:dyDescent="0.25">
      <c r="A455" s="262">
        <v>993</v>
      </c>
      <c r="B455" s="278" t="s">
        <v>1799</v>
      </c>
      <c r="C455" s="278" t="s">
        <v>1800</v>
      </c>
      <c r="D455" s="278" t="s">
        <v>1801</v>
      </c>
      <c r="E455" s="278" t="s">
        <v>461</v>
      </c>
      <c r="F455" s="279">
        <v>6</v>
      </c>
      <c r="G455" s="279">
        <v>1798.32</v>
      </c>
      <c r="H455" s="280">
        <f t="shared" si="7"/>
        <v>1524</v>
      </c>
    </row>
    <row r="456" spans="1:8" ht="15" customHeight="1" x14ac:dyDescent="0.25">
      <c r="A456" s="262">
        <v>995</v>
      </c>
      <c r="B456" s="278" t="s">
        <v>1802</v>
      </c>
      <c r="C456" s="278" t="s">
        <v>1803</v>
      </c>
      <c r="D456" s="278" t="s">
        <v>1804</v>
      </c>
      <c r="E456" s="278" t="s">
        <v>461</v>
      </c>
      <c r="F456" s="279">
        <v>10</v>
      </c>
      <c r="G456" s="279">
        <v>6997.4</v>
      </c>
      <c r="H456" s="280">
        <f t="shared" si="7"/>
        <v>5930</v>
      </c>
    </row>
    <row r="457" spans="1:8" ht="15" customHeight="1" x14ac:dyDescent="0.25">
      <c r="A457" s="262">
        <v>997</v>
      </c>
      <c r="B457" s="278" t="s">
        <v>1805</v>
      </c>
      <c r="C457" s="278" t="s">
        <v>1806</v>
      </c>
      <c r="D457" s="278" t="s">
        <v>1807</v>
      </c>
      <c r="E457" s="278" t="s">
        <v>461</v>
      </c>
      <c r="F457" s="279">
        <v>72</v>
      </c>
      <c r="G457" s="279">
        <v>4672.8</v>
      </c>
      <c r="H457" s="280">
        <f t="shared" ref="H457:H520" si="8">G457/1.18</f>
        <v>3960.0000000000005</v>
      </c>
    </row>
    <row r="458" spans="1:8" ht="15" customHeight="1" x14ac:dyDescent="0.25">
      <c r="A458" s="262">
        <v>999</v>
      </c>
      <c r="B458" s="278" t="s">
        <v>1808</v>
      </c>
      <c r="C458" s="278" t="s">
        <v>1809</v>
      </c>
      <c r="D458" s="278" t="s">
        <v>1810</v>
      </c>
      <c r="E458" s="278" t="s">
        <v>461</v>
      </c>
      <c r="F458" s="279">
        <v>78</v>
      </c>
      <c r="G458" s="279">
        <v>13345.8</v>
      </c>
      <c r="H458" s="280">
        <f t="shared" si="8"/>
        <v>11310</v>
      </c>
    </row>
    <row r="459" spans="1:8" ht="15" customHeight="1" x14ac:dyDescent="0.25">
      <c r="A459" s="262">
        <v>1001</v>
      </c>
      <c r="B459" s="278" t="s">
        <v>1811</v>
      </c>
      <c r="C459" s="278" t="s">
        <v>1812</v>
      </c>
      <c r="D459" s="278" t="s">
        <v>1813</v>
      </c>
      <c r="E459" s="278" t="s">
        <v>461</v>
      </c>
      <c r="F459" s="279">
        <v>360</v>
      </c>
      <c r="G459" s="279">
        <v>505.51</v>
      </c>
      <c r="H459" s="280">
        <f t="shared" si="8"/>
        <v>428.3983050847458</v>
      </c>
    </row>
    <row r="460" spans="1:8" ht="15" customHeight="1" x14ac:dyDescent="0.25">
      <c r="A460" s="262">
        <v>1003</v>
      </c>
      <c r="B460" s="278" t="s">
        <v>1814</v>
      </c>
      <c r="C460" s="278" t="s">
        <v>1815</v>
      </c>
      <c r="D460" s="278" t="s">
        <v>1816</v>
      </c>
      <c r="E460" s="278" t="s">
        <v>461</v>
      </c>
      <c r="F460" s="279">
        <v>100</v>
      </c>
      <c r="G460" s="279">
        <v>4602</v>
      </c>
      <c r="H460" s="280">
        <f t="shared" si="8"/>
        <v>3900</v>
      </c>
    </row>
    <row r="461" spans="1:8" ht="15" customHeight="1" x14ac:dyDescent="0.25">
      <c r="A461" s="262">
        <v>1005</v>
      </c>
      <c r="B461" s="278" t="s">
        <v>1817</v>
      </c>
      <c r="C461" s="278" t="s">
        <v>1818</v>
      </c>
      <c r="D461" s="278" t="s">
        <v>1819</v>
      </c>
      <c r="E461" s="278" t="s">
        <v>461</v>
      </c>
      <c r="F461" s="279">
        <v>100</v>
      </c>
      <c r="G461" s="279">
        <v>4720</v>
      </c>
      <c r="H461" s="280">
        <f t="shared" si="8"/>
        <v>4000</v>
      </c>
    </row>
    <row r="462" spans="1:8" ht="15" customHeight="1" x14ac:dyDescent="0.25">
      <c r="A462" s="262">
        <v>1007</v>
      </c>
      <c r="B462" s="278" t="s">
        <v>1820</v>
      </c>
      <c r="C462" s="278" t="s">
        <v>1821</v>
      </c>
      <c r="D462" s="278" t="s">
        <v>1822</v>
      </c>
      <c r="E462" s="278" t="s">
        <v>461</v>
      </c>
      <c r="F462" s="279">
        <v>1000</v>
      </c>
      <c r="G462" s="279">
        <v>5003.2</v>
      </c>
      <c r="H462" s="280">
        <f t="shared" si="8"/>
        <v>4240</v>
      </c>
    </row>
    <row r="463" spans="1:8" ht="15" customHeight="1" x14ac:dyDescent="0.25">
      <c r="A463" s="262">
        <v>1009</v>
      </c>
      <c r="B463" s="278" t="s">
        <v>1823</v>
      </c>
      <c r="C463" s="278" t="s">
        <v>1824</v>
      </c>
      <c r="D463" s="278" t="s">
        <v>1825</v>
      </c>
      <c r="E463" s="278" t="s">
        <v>461</v>
      </c>
      <c r="F463" s="279">
        <v>50</v>
      </c>
      <c r="G463" s="279">
        <v>6018</v>
      </c>
      <c r="H463" s="280">
        <f t="shared" si="8"/>
        <v>5100</v>
      </c>
    </row>
    <row r="464" spans="1:8" ht="15" customHeight="1" x14ac:dyDescent="0.25">
      <c r="A464" s="262">
        <v>1011</v>
      </c>
      <c r="B464" s="278" t="s">
        <v>1826</v>
      </c>
      <c r="C464" s="278" t="s">
        <v>1827</v>
      </c>
      <c r="D464" s="278" t="s">
        <v>1828</v>
      </c>
      <c r="E464" s="278" t="s">
        <v>461</v>
      </c>
      <c r="F464" s="279">
        <v>50</v>
      </c>
      <c r="G464" s="279">
        <v>1549.93</v>
      </c>
      <c r="H464" s="280">
        <f t="shared" si="8"/>
        <v>1313.5000000000002</v>
      </c>
    </row>
    <row r="465" spans="1:8" ht="15" customHeight="1" x14ac:dyDescent="0.25">
      <c r="A465" s="262">
        <v>1013</v>
      </c>
      <c r="B465" s="278" t="s">
        <v>1829</v>
      </c>
      <c r="C465" s="278" t="s">
        <v>1830</v>
      </c>
      <c r="D465" s="278" t="s">
        <v>1831</v>
      </c>
      <c r="E465" s="278" t="s">
        <v>461</v>
      </c>
      <c r="F465" s="279">
        <v>50</v>
      </c>
      <c r="G465" s="279">
        <v>1800.09</v>
      </c>
      <c r="H465" s="280">
        <f t="shared" si="8"/>
        <v>1525.5</v>
      </c>
    </row>
    <row r="466" spans="1:8" ht="15" customHeight="1" x14ac:dyDescent="0.25">
      <c r="A466" s="262">
        <v>1015</v>
      </c>
      <c r="B466" s="278" t="s">
        <v>1832</v>
      </c>
      <c r="C466" s="278" t="s">
        <v>1833</v>
      </c>
      <c r="D466" s="278" t="s">
        <v>1834</v>
      </c>
      <c r="E466" s="278" t="s">
        <v>461</v>
      </c>
      <c r="F466" s="279">
        <v>50</v>
      </c>
      <c r="G466" s="279">
        <v>800.04</v>
      </c>
      <c r="H466" s="280">
        <f t="shared" si="8"/>
        <v>678</v>
      </c>
    </row>
    <row r="467" spans="1:8" ht="15" customHeight="1" x14ac:dyDescent="0.25">
      <c r="A467" s="262">
        <v>1017</v>
      </c>
      <c r="B467" s="278" t="s">
        <v>1835</v>
      </c>
      <c r="C467" s="278" t="s">
        <v>1836</v>
      </c>
      <c r="D467" s="278" t="s">
        <v>1837</v>
      </c>
      <c r="E467" s="278" t="s">
        <v>461</v>
      </c>
      <c r="F467" s="279">
        <v>100</v>
      </c>
      <c r="G467" s="279">
        <v>800.04</v>
      </c>
      <c r="H467" s="280">
        <f t="shared" si="8"/>
        <v>678</v>
      </c>
    </row>
    <row r="468" spans="1:8" ht="15" customHeight="1" x14ac:dyDescent="0.25">
      <c r="A468" s="262">
        <v>1019</v>
      </c>
      <c r="B468" s="278" t="s">
        <v>1838</v>
      </c>
      <c r="C468" s="278" t="s">
        <v>1839</v>
      </c>
      <c r="D468" s="278" t="s">
        <v>1840</v>
      </c>
      <c r="E468" s="278" t="s">
        <v>461</v>
      </c>
      <c r="F468" s="279">
        <v>100</v>
      </c>
      <c r="G468" s="279">
        <v>750.48</v>
      </c>
      <c r="H468" s="280">
        <f t="shared" si="8"/>
        <v>636</v>
      </c>
    </row>
    <row r="469" spans="1:8" ht="15" customHeight="1" x14ac:dyDescent="0.25">
      <c r="A469" s="262">
        <v>1021</v>
      </c>
      <c r="B469" s="278" t="s">
        <v>1841</v>
      </c>
      <c r="C469" s="278" t="s">
        <v>1842</v>
      </c>
      <c r="D469" s="278" t="s">
        <v>1843</v>
      </c>
      <c r="E469" s="278" t="s">
        <v>461</v>
      </c>
      <c r="F469" s="279">
        <v>100</v>
      </c>
      <c r="G469" s="279">
        <v>800.04</v>
      </c>
      <c r="H469" s="280">
        <f t="shared" si="8"/>
        <v>678</v>
      </c>
    </row>
    <row r="470" spans="1:8" ht="15" customHeight="1" x14ac:dyDescent="0.25">
      <c r="A470" s="262">
        <v>1023</v>
      </c>
      <c r="B470" s="278" t="s">
        <v>1844</v>
      </c>
      <c r="C470" s="278" t="s">
        <v>1845</v>
      </c>
      <c r="D470" s="278" t="s">
        <v>1846</v>
      </c>
      <c r="E470" s="278" t="s">
        <v>461</v>
      </c>
      <c r="F470" s="279">
        <v>180</v>
      </c>
      <c r="G470" s="279">
        <v>630.83000000000004</v>
      </c>
      <c r="H470" s="280">
        <f t="shared" si="8"/>
        <v>534.60169491525426</v>
      </c>
    </row>
    <row r="471" spans="1:8" ht="15" customHeight="1" x14ac:dyDescent="0.25">
      <c r="A471" s="262">
        <v>1025</v>
      </c>
      <c r="B471" s="278" t="s">
        <v>1847</v>
      </c>
      <c r="C471" s="278" t="s">
        <v>1848</v>
      </c>
      <c r="D471" s="278" t="s">
        <v>1849</v>
      </c>
      <c r="E471" s="278" t="s">
        <v>461</v>
      </c>
      <c r="F471" s="279">
        <v>200</v>
      </c>
      <c r="G471" s="279">
        <v>830.72</v>
      </c>
      <c r="H471" s="280">
        <f t="shared" si="8"/>
        <v>704.00000000000011</v>
      </c>
    </row>
    <row r="472" spans="1:8" ht="15" customHeight="1" x14ac:dyDescent="0.25">
      <c r="A472" s="262">
        <v>1027</v>
      </c>
      <c r="B472" s="278" t="s">
        <v>1850</v>
      </c>
      <c r="C472" s="278" t="s">
        <v>1851</v>
      </c>
      <c r="D472" s="278" t="s">
        <v>1852</v>
      </c>
      <c r="E472" s="278" t="s">
        <v>461</v>
      </c>
      <c r="F472" s="279">
        <v>200</v>
      </c>
      <c r="G472" s="279">
        <v>781.16</v>
      </c>
      <c r="H472" s="280">
        <f t="shared" si="8"/>
        <v>662</v>
      </c>
    </row>
    <row r="473" spans="1:8" ht="15" customHeight="1" x14ac:dyDescent="0.25">
      <c r="A473" s="262">
        <v>1029</v>
      </c>
      <c r="B473" s="278" t="s">
        <v>1853</v>
      </c>
      <c r="C473" s="278" t="s">
        <v>1854</v>
      </c>
      <c r="D473" s="278" t="s">
        <v>1855</v>
      </c>
      <c r="E473" s="278" t="s">
        <v>461</v>
      </c>
      <c r="F473" s="279">
        <v>180</v>
      </c>
      <c r="G473" s="279">
        <v>666.94</v>
      </c>
      <c r="H473" s="280">
        <f t="shared" si="8"/>
        <v>565.20338983050851</v>
      </c>
    </row>
    <row r="474" spans="1:8" ht="15" customHeight="1" x14ac:dyDescent="0.25">
      <c r="A474" s="262">
        <v>1031</v>
      </c>
      <c r="B474" s="278" t="s">
        <v>1856</v>
      </c>
      <c r="C474" s="278" t="s">
        <v>1857</v>
      </c>
      <c r="D474" s="278" t="s">
        <v>1858</v>
      </c>
      <c r="E474" s="278" t="s">
        <v>461</v>
      </c>
      <c r="F474" s="279">
        <v>140</v>
      </c>
      <c r="G474" s="279">
        <v>294.06</v>
      </c>
      <c r="H474" s="280">
        <f t="shared" si="8"/>
        <v>249.20338983050848</v>
      </c>
    </row>
    <row r="475" spans="1:8" ht="15" customHeight="1" x14ac:dyDescent="0.25">
      <c r="A475" s="262">
        <v>1033</v>
      </c>
      <c r="B475" s="278" t="s">
        <v>1859</v>
      </c>
      <c r="C475" s="278" t="s">
        <v>1860</v>
      </c>
      <c r="D475" s="278" t="s">
        <v>1861</v>
      </c>
      <c r="E475" s="278" t="s">
        <v>461</v>
      </c>
      <c r="F475" s="279">
        <v>8</v>
      </c>
      <c r="G475" s="279">
        <v>34833.599999999999</v>
      </c>
      <c r="H475" s="280">
        <f t="shared" si="8"/>
        <v>29520</v>
      </c>
    </row>
    <row r="476" spans="1:8" ht="15" customHeight="1" x14ac:dyDescent="0.25">
      <c r="A476" s="262">
        <v>1035</v>
      </c>
      <c r="B476" s="278" t="s">
        <v>1862</v>
      </c>
      <c r="C476" s="278" t="s">
        <v>1863</v>
      </c>
      <c r="D476" s="278" t="s">
        <v>1864</v>
      </c>
      <c r="E476" s="278" t="s">
        <v>461</v>
      </c>
      <c r="F476" s="279">
        <v>22</v>
      </c>
      <c r="G476" s="279">
        <v>9008.1200000000008</v>
      </c>
      <c r="H476" s="280">
        <f t="shared" si="8"/>
        <v>7634.0000000000009</v>
      </c>
    </row>
    <row r="477" spans="1:8" ht="15" customHeight="1" x14ac:dyDescent="0.25">
      <c r="A477" s="262">
        <v>1037</v>
      </c>
      <c r="B477" s="278" t="s">
        <v>1865</v>
      </c>
      <c r="C477" s="278" t="s">
        <v>1866</v>
      </c>
      <c r="D477" s="278" t="s">
        <v>1867</v>
      </c>
      <c r="E477" s="278" t="s">
        <v>461</v>
      </c>
      <c r="F477" s="279">
        <v>13</v>
      </c>
      <c r="G477" s="279">
        <v>5583.76</v>
      </c>
      <c r="H477" s="280">
        <f t="shared" si="8"/>
        <v>4732</v>
      </c>
    </row>
    <row r="478" spans="1:8" ht="15" customHeight="1" x14ac:dyDescent="0.25">
      <c r="A478" s="262">
        <v>1039</v>
      </c>
      <c r="B478" s="278" t="s">
        <v>1868</v>
      </c>
      <c r="C478" s="278" t="s">
        <v>1869</v>
      </c>
      <c r="D478" s="278" t="s">
        <v>1870</v>
      </c>
      <c r="E478" s="278" t="s">
        <v>461</v>
      </c>
      <c r="F478" s="279">
        <v>100</v>
      </c>
      <c r="G478" s="279">
        <v>750.48</v>
      </c>
      <c r="H478" s="280">
        <f t="shared" si="8"/>
        <v>636</v>
      </c>
    </row>
    <row r="479" spans="1:8" ht="15" customHeight="1" x14ac:dyDescent="0.25">
      <c r="A479" s="262">
        <v>1041</v>
      </c>
      <c r="B479" s="278" t="s">
        <v>1871</v>
      </c>
      <c r="C479" s="278" t="s">
        <v>1872</v>
      </c>
      <c r="D479" s="278" t="s">
        <v>1873</v>
      </c>
      <c r="E479" s="278" t="s">
        <v>461</v>
      </c>
      <c r="F479" s="279">
        <v>174</v>
      </c>
      <c r="G479" s="279">
        <v>817.17</v>
      </c>
      <c r="H479" s="280">
        <f t="shared" si="8"/>
        <v>692.51694915254234</v>
      </c>
    </row>
    <row r="480" spans="1:8" ht="15" customHeight="1" x14ac:dyDescent="0.25">
      <c r="A480" s="262">
        <v>1043</v>
      </c>
      <c r="B480" s="278" t="s">
        <v>1874</v>
      </c>
      <c r="C480" s="278" t="s">
        <v>1875</v>
      </c>
      <c r="D480" s="278" t="s">
        <v>1876</v>
      </c>
      <c r="E480" s="278" t="s">
        <v>461</v>
      </c>
      <c r="F480" s="279">
        <v>1000</v>
      </c>
      <c r="G480" s="279">
        <v>10620</v>
      </c>
      <c r="H480" s="280">
        <f t="shared" si="8"/>
        <v>9000</v>
      </c>
    </row>
    <row r="481" spans="1:8" ht="15" customHeight="1" x14ac:dyDescent="0.25">
      <c r="A481" s="262">
        <v>1045</v>
      </c>
      <c r="B481" s="278" t="s">
        <v>1877</v>
      </c>
      <c r="C481" s="278" t="s">
        <v>1878</v>
      </c>
      <c r="D481" s="278" t="s">
        <v>1879</v>
      </c>
      <c r="E481" s="278" t="s">
        <v>461</v>
      </c>
      <c r="F481" s="279">
        <v>12</v>
      </c>
      <c r="G481" s="279">
        <v>1982.4</v>
      </c>
      <c r="H481" s="280">
        <f t="shared" si="8"/>
        <v>1680.0000000000002</v>
      </c>
    </row>
    <row r="482" spans="1:8" ht="15" customHeight="1" x14ac:dyDescent="0.25">
      <c r="A482" s="262">
        <v>1047</v>
      </c>
      <c r="B482" s="278" t="s">
        <v>1880</v>
      </c>
      <c r="C482" s="278" t="s">
        <v>1881</v>
      </c>
      <c r="D482" s="278" t="s">
        <v>1882</v>
      </c>
      <c r="E482" s="278" t="s">
        <v>461</v>
      </c>
      <c r="F482" s="279">
        <v>4</v>
      </c>
      <c r="G482" s="279">
        <v>390.39</v>
      </c>
      <c r="H482" s="280">
        <f t="shared" si="8"/>
        <v>330.83898305084745</v>
      </c>
    </row>
    <row r="483" spans="1:8" ht="15" customHeight="1" x14ac:dyDescent="0.25">
      <c r="A483" s="262">
        <v>1049</v>
      </c>
      <c r="B483" s="278" t="s">
        <v>1883</v>
      </c>
      <c r="C483" s="278" t="s">
        <v>1884</v>
      </c>
      <c r="D483" s="278" t="s">
        <v>1885</v>
      </c>
      <c r="E483" s="278" t="s">
        <v>461</v>
      </c>
      <c r="F483" s="279">
        <v>12</v>
      </c>
      <c r="G483" s="279">
        <v>10200</v>
      </c>
      <c r="H483" s="280">
        <f t="shared" si="8"/>
        <v>8644.0677966101703</v>
      </c>
    </row>
    <row r="484" spans="1:8" ht="15" customHeight="1" x14ac:dyDescent="0.25">
      <c r="A484" s="262">
        <v>1051</v>
      </c>
      <c r="B484" s="278" t="s">
        <v>1886</v>
      </c>
      <c r="C484" s="278" t="s">
        <v>1887</v>
      </c>
      <c r="D484" s="278" t="s">
        <v>1888</v>
      </c>
      <c r="E484" s="278" t="s">
        <v>461</v>
      </c>
      <c r="F484" s="279">
        <v>12</v>
      </c>
      <c r="G484" s="279">
        <v>1079.98</v>
      </c>
      <c r="H484" s="280">
        <f t="shared" si="8"/>
        <v>915.2372881355933</v>
      </c>
    </row>
    <row r="485" spans="1:8" ht="15" customHeight="1" x14ac:dyDescent="0.25">
      <c r="A485" s="262">
        <v>1053</v>
      </c>
      <c r="B485" s="278" t="s">
        <v>1889</v>
      </c>
      <c r="C485" s="278" t="s">
        <v>1890</v>
      </c>
      <c r="D485" s="278" t="s">
        <v>1891</v>
      </c>
      <c r="E485" s="278" t="s">
        <v>461</v>
      </c>
      <c r="F485" s="279">
        <v>14</v>
      </c>
      <c r="G485" s="279">
        <v>2560.6</v>
      </c>
      <c r="H485" s="280">
        <f t="shared" si="8"/>
        <v>2170</v>
      </c>
    </row>
    <row r="486" spans="1:8" ht="15" customHeight="1" x14ac:dyDescent="0.25">
      <c r="A486" s="262">
        <v>1055</v>
      </c>
      <c r="B486" s="278" t="s">
        <v>1892</v>
      </c>
      <c r="C486" s="278" t="s">
        <v>1893</v>
      </c>
      <c r="D486" s="278" t="s">
        <v>1894</v>
      </c>
      <c r="E486" s="278" t="s">
        <v>461</v>
      </c>
      <c r="F486" s="279">
        <v>9</v>
      </c>
      <c r="G486" s="279">
        <v>507954.6</v>
      </c>
      <c r="H486" s="280">
        <f t="shared" si="8"/>
        <v>430470</v>
      </c>
    </row>
    <row r="487" spans="1:8" ht="15" customHeight="1" x14ac:dyDescent="0.25">
      <c r="A487" s="262">
        <v>1057</v>
      </c>
      <c r="B487" s="278" t="s">
        <v>1895</v>
      </c>
      <c r="C487" s="278" t="s">
        <v>1896</v>
      </c>
      <c r="D487" s="278" t="s">
        <v>1897</v>
      </c>
      <c r="E487" s="278" t="s">
        <v>461</v>
      </c>
      <c r="F487" s="279">
        <v>2</v>
      </c>
      <c r="G487" s="279">
        <v>83461.399999999994</v>
      </c>
      <c r="H487" s="280">
        <f t="shared" si="8"/>
        <v>70730</v>
      </c>
    </row>
    <row r="488" spans="1:8" ht="15" customHeight="1" x14ac:dyDescent="0.25">
      <c r="A488" s="262">
        <v>1059</v>
      </c>
      <c r="B488" s="278" t="s">
        <v>1898</v>
      </c>
      <c r="C488" s="278" t="s">
        <v>1899</v>
      </c>
      <c r="D488" s="278" t="s">
        <v>1900</v>
      </c>
      <c r="E488" s="278" t="s">
        <v>461</v>
      </c>
      <c r="F488" s="279">
        <v>1</v>
      </c>
      <c r="G488" s="279">
        <v>126378</v>
      </c>
      <c r="H488" s="280">
        <f t="shared" si="8"/>
        <v>107100</v>
      </c>
    </row>
    <row r="489" spans="1:8" ht="15" customHeight="1" x14ac:dyDescent="0.25">
      <c r="A489" s="262">
        <v>1061</v>
      </c>
      <c r="B489" s="278" t="s">
        <v>1901</v>
      </c>
      <c r="C489" s="278" t="s">
        <v>1902</v>
      </c>
      <c r="D489" s="278" t="s">
        <v>1903</v>
      </c>
      <c r="E489" s="278" t="s">
        <v>461</v>
      </c>
      <c r="F489" s="279">
        <v>18</v>
      </c>
      <c r="G489" s="279">
        <v>1656</v>
      </c>
      <c r="H489" s="280">
        <f t="shared" si="8"/>
        <v>1403.3898305084747</v>
      </c>
    </row>
    <row r="490" spans="1:8" ht="15" customHeight="1" x14ac:dyDescent="0.25">
      <c r="A490" s="262">
        <v>1063</v>
      </c>
      <c r="B490" s="278" t="s">
        <v>1904</v>
      </c>
      <c r="C490" s="278" t="s">
        <v>1905</v>
      </c>
      <c r="D490" s="278" t="s">
        <v>1906</v>
      </c>
      <c r="E490" s="278" t="s">
        <v>461</v>
      </c>
      <c r="F490" s="279">
        <v>10</v>
      </c>
      <c r="G490" s="279">
        <v>3186</v>
      </c>
      <c r="H490" s="280">
        <f t="shared" si="8"/>
        <v>2700</v>
      </c>
    </row>
    <row r="491" spans="1:8" ht="15" customHeight="1" x14ac:dyDescent="0.25">
      <c r="A491" s="262">
        <v>1065</v>
      </c>
      <c r="B491" s="278" t="s">
        <v>1907</v>
      </c>
      <c r="C491" s="278" t="s">
        <v>1908</v>
      </c>
      <c r="D491" s="278" t="s">
        <v>1909</v>
      </c>
      <c r="E491" s="278" t="s">
        <v>461</v>
      </c>
      <c r="F491" s="279">
        <v>9</v>
      </c>
      <c r="G491" s="279">
        <v>8687.16</v>
      </c>
      <c r="H491" s="280">
        <f t="shared" si="8"/>
        <v>7362</v>
      </c>
    </row>
    <row r="492" spans="1:8" ht="15" customHeight="1" x14ac:dyDescent="0.25">
      <c r="A492" s="262">
        <v>1067</v>
      </c>
      <c r="B492" s="278" t="s">
        <v>1910</v>
      </c>
      <c r="C492" s="278" t="s">
        <v>1911</v>
      </c>
      <c r="D492" s="278" t="s">
        <v>1912</v>
      </c>
      <c r="E492" s="278" t="s">
        <v>461</v>
      </c>
      <c r="F492" s="279">
        <v>17</v>
      </c>
      <c r="G492" s="279">
        <v>10832.4</v>
      </c>
      <c r="H492" s="280">
        <f t="shared" si="8"/>
        <v>9180</v>
      </c>
    </row>
    <row r="493" spans="1:8" ht="15" customHeight="1" x14ac:dyDescent="0.25">
      <c r="A493" s="262">
        <v>1069</v>
      </c>
      <c r="B493" s="278" t="s">
        <v>1913</v>
      </c>
      <c r="C493" s="278" t="s">
        <v>1914</v>
      </c>
      <c r="D493" s="278" t="s">
        <v>1915</v>
      </c>
      <c r="E493" s="278" t="s">
        <v>461</v>
      </c>
      <c r="F493" s="279">
        <v>39</v>
      </c>
      <c r="G493" s="279">
        <v>3295.5</v>
      </c>
      <c r="H493" s="280">
        <f t="shared" si="8"/>
        <v>2792.7966101694915</v>
      </c>
    </row>
    <row r="494" spans="1:8" ht="15" customHeight="1" x14ac:dyDescent="0.25">
      <c r="A494" s="262">
        <v>1071</v>
      </c>
      <c r="B494" s="278" t="s">
        <v>1916</v>
      </c>
      <c r="C494" s="278" t="s">
        <v>1917</v>
      </c>
      <c r="D494" s="278" t="s">
        <v>1918</v>
      </c>
      <c r="E494" s="278" t="s">
        <v>461</v>
      </c>
      <c r="F494" s="279">
        <v>1</v>
      </c>
      <c r="G494" s="279">
        <v>87626.8</v>
      </c>
      <c r="H494" s="280">
        <f t="shared" si="8"/>
        <v>74260</v>
      </c>
    </row>
    <row r="495" spans="1:8" ht="15" customHeight="1" x14ac:dyDescent="0.25">
      <c r="A495" s="262">
        <v>1073</v>
      </c>
      <c r="B495" s="278" t="s">
        <v>1919</v>
      </c>
      <c r="C495" s="278" t="s">
        <v>1920</v>
      </c>
      <c r="D495" s="278" t="s">
        <v>1921</v>
      </c>
      <c r="E495" s="278" t="s">
        <v>461</v>
      </c>
      <c r="F495" s="279">
        <v>2</v>
      </c>
      <c r="G495" s="279">
        <v>515.75</v>
      </c>
      <c r="H495" s="280">
        <f t="shared" si="8"/>
        <v>437.07627118644069</v>
      </c>
    </row>
    <row r="496" spans="1:8" ht="15" customHeight="1" x14ac:dyDescent="0.25">
      <c r="A496" s="262">
        <v>1075</v>
      </c>
      <c r="B496" s="278" t="s">
        <v>1922</v>
      </c>
      <c r="C496" s="278" t="s">
        <v>1923</v>
      </c>
      <c r="D496" s="278" t="s">
        <v>1924</v>
      </c>
      <c r="E496" s="278" t="s">
        <v>461</v>
      </c>
      <c r="F496" s="279">
        <v>10</v>
      </c>
      <c r="G496" s="279">
        <v>11800</v>
      </c>
      <c r="H496" s="280">
        <f t="shared" si="8"/>
        <v>10000</v>
      </c>
    </row>
    <row r="497" spans="1:8" ht="15" customHeight="1" x14ac:dyDescent="0.25">
      <c r="A497" s="262">
        <v>1093</v>
      </c>
      <c r="B497" s="278" t="s">
        <v>1925</v>
      </c>
      <c r="C497" s="278" t="s">
        <v>1926</v>
      </c>
      <c r="D497" s="278" t="s">
        <v>1927</v>
      </c>
      <c r="E497" s="278" t="s">
        <v>461</v>
      </c>
      <c r="F497" s="279">
        <v>1</v>
      </c>
      <c r="G497" s="279">
        <v>647.26</v>
      </c>
      <c r="H497" s="280">
        <f t="shared" si="8"/>
        <v>548.52542372881362</v>
      </c>
    </row>
    <row r="498" spans="1:8" ht="15" customHeight="1" x14ac:dyDescent="0.25">
      <c r="A498" s="262">
        <v>1095</v>
      </c>
      <c r="B498" s="278" t="s">
        <v>1928</v>
      </c>
      <c r="C498" s="278" t="s">
        <v>1929</v>
      </c>
      <c r="D498" s="278" t="s">
        <v>1930</v>
      </c>
      <c r="E498" s="278" t="s">
        <v>461</v>
      </c>
      <c r="F498" s="279">
        <v>1</v>
      </c>
      <c r="G498" s="279">
        <v>1399.51</v>
      </c>
      <c r="H498" s="280">
        <f t="shared" si="8"/>
        <v>1186.0254237288136</v>
      </c>
    </row>
    <row r="499" spans="1:8" ht="15" customHeight="1" x14ac:dyDescent="0.25">
      <c r="A499" s="262">
        <v>1097</v>
      </c>
      <c r="B499" s="278" t="s">
        <v>1931</v>
      </c>
      <c r="C499" s="278" t="s">
        <v>1932</v>
      </c>
      <c r="D499" s="278" t="s">
        <v>1933</v>
      </c>
      <c r="E499" s="278" t="s">
        <v>461</v>
      </c>
      <c r="F499" s="279">
        <v>1</v>
      </c>
      <c r="G499" s="279">
        <v>535</v>
      </c>
      <c r="H499" s="280">
        <f t="shared" si="8"/>
        <v>453.38983050847457</v>
      </c>
    </row>
    <row r="500" spans="1:8" ht="15" customHeight="1" x14ac:dyDescent="0.25">
      <c r="A500" s="262">
        <v>1099</v>
      </c>
      <c r="B500" s="278" t="s">
        <v>1934</v>
      </c>
      <c r="C500" s="278" t="s">
        <v>1935</v>
      </c>
      <c r="D500" s="278" t="s">
        <v>1936</v>
      </c>
      <c r="E500" s="278" t="s">
        <v>461</v>
      </c>
      <c r="F500" s="279">
        <v>7</v>
      </c>
      <c r="G500" s="279">
        <v>6305.35</v>
      </c>
      <c r="H500" s="280">
        <f t="shared" si="8"/>
        <v>5343.516949152543</v>
      </c>
    </row>
    <row r="501" spans="1:8" ht="15" customHeight="1" x14ac:dyDescent="0.25">
      <c r="A501" s="262">
        <v>1101</v>
      </c>
      <c r="B501" s="278" t="s">
        <v>1937</v>
      </c>
      <c r="C501" s="278" t="s">
        <v>1938</v>
      </c>
      <c r="D501" s="278" t="s">
        <v>1939</v>
      </c>
      <c r="E501" s="278" t="s">
        <v>461</v>
      </c>
      <c r="F501" s="279">
        <v>2</v>
      </c>
      <c r="G501" s="279">
        <v>697.04</v>
      </c>
      <c r="H501" s="280">
        <f t="shared" si="8"/>
        <v>590.71186440677968</v>
      </c>
    </row>
    <row r="502" spans="1:8" ht="15" customHeight="1" x14ac:dyDescent="0.25">
      <c r="A502" s="262">
        <v>1103</v>
      </c>
      <c r="B502" s="278" t="s">
        <v>1940</v>
      </c>
      <c r="C502" s="278" t="s">
        <v>1941</v>
      </c>
      <c r="D502" s="278" t="s">
        <v>1942</v>
      </c>
      <c r="E502" s="278" t="s">
        <v>461</v>
      </c>
      <c r="F502" s="279">
        <v>1</v>
      </c>
      <c r="G502" s="279">
        <v>3512.43</v>
      </c>
      <c r="H502" s="280">
        <f t="shared" si="8"/>
        <v>2976.6355932203392</v>
      </c>
    </row>
    <row r="503" spans="1:8" ht="15" customHeight="1" x14ac:dyDescent="0.25">
      <c r="A503" s="262">
        <v>1105</v>
      </c>
      <c r="B503" s="278" t="s">
        <v>1943</v>
      </c>
      <c r="C503" s="278" t="s">
        <v>1944</v>
      </c>
      <c r="D503" s="278" t="s">
        <v>1945</v>
      </c>
      <c r="E503" s="278" t="s">
        <v>461</v>
      </c>
      <c r="F503" s="279">
        <v>1</v>
      </c>
      <c r="G503" s="279">
        <v>2076.89</v>
      </c>
      <c r="H503" s="280">
        <f t="shared" si="8"/>
        <v>1760.0762711864406</v>
      </c>
    </row>
    <row r="504" spans="1:8" ht="15" customHeight="1" x14ac:dyDescent="0.25">
      <c r="A504" s="262">
        <v>1107</v>
      </c>
      <c r="B504" s="278" t="s">
        <v>1946</v>
      </c>
      <c r="C504" s="278" t="s">
        <v>1947</v>
      </c>
      <c r="D504" s="278" t="s">
        <v>1948</v>
      </c>
      <c r="E504" s="278" t="s">
        <v>461</v>
      </c>
      <c r="F504" s="279">
        <v>2</v>
      </c>
      <c r="G504" s="279">
        <v>5355.05</v>
      </c>
      <c r="H504" s="280">
        <f t="shared" si="8"/>
        <v>4538.1779661016953</v>
      </c>
    </row>
    <row r="505" spans="1:8" ht="15" customHeight="1" x14ac:dyDescent="0.25">
      <c r="A505" s="262">
        <v>1109</v>
      </c>
      <c r="B505" s="278" t="s">
        <v>1949</v>
      </c>
      <c r="C505" s="278" t="s">
        <v>1950</v>
      </c>
      <c r="D505" s="278" t="s">
        <v>1951</v>
      </c>
      <c r="E505" s="278" t="s">
        <v>461</v>
      </c>
      <c r="F505" s="279">
        <v>2</v>
      </c>
      <c r="G505" s="279">
        <v>519.20000000000005</v>
      </c>
      <c r="H505" s="280">
        <f t="shared" si="8"/>
        <v>440.00000000000006</v>
      </c>
    </row>
    <row r="506" spans="1:8" ht="15" customHeight="1" x14ac:dyDescent="0.25">
      <c r="A506" s="262">
        <v>1111</v>
      </c>
      <c r="B506" s="278" t="s">
        <v>1952</v>
      </c>
      <c r="C506" s="278" t="s">
        <v>1953</v>
      </c>
      <c r="D506" s="278" t="s">
        <v>1954</v>
      </c>
      <c r="E506" s="278" t="s">
        <v>461</v>
      </c>
      <c r="F506" s="279">
        <v>1</v>
      </c>
      <c r="G506" s="279">
        <v>2360</v>
      </c>
      <c r="H506" s="280">
        <f t="shared" si="8"/>
        <v>2000</v>
      </c>
    </row>
    <row r="507" spans="1:8" ht="15" customHeight="1" x14ac:dyDescent="0.25">
      <c r="A507" s="262">
        <v>1113</v>
      </c>
      <c r="B507" s="278" t="s">
        <v>1955</v>
      </c>
      <c r="C507" s="278" t="s">
        <v>1956</v>
      </c>
      <c r="D507" s="278" t="s">
        <v>1957</v>
      </c>
      <c r="E507" s="278" t="s">
        <v>461</v>
      </c>
      <c r="F507" s="279">
        <v>1</v>
      </c>
      <c r="G507" s="279">
        <v>389.4</v>
      </c>
      <c r="H507" s="280">
        <f t="shared" si="8"/>
        <v>330</v>
      </c>
    </row>
    <row r="508" spans="1:8" ht="15" customHeight="1" x14ac:dyDescent="0.25">
      <c r="A508" s="262">
        <v>1115</v>
      </c>
      <c r="B508" s="278" t="s">
        <v>1958</v>
      </c>
      <c r="C508" s="278" t="s">
        <v>1959</v>
      </c>
      <c r="D508" s="278" t="s">
        <v>1960</v>
      </c>
      <c r="E508" s="278" t="s">
        <v>461</v>
      </c>
      <c r="F508" s="279">
        <v>3</v>
      </c>
      <c r="G508" s="279">
        <v>1200.06</v>
      </c>
      <c r="H508" s="280">
        <f t="shared" si="8"/>
        <v>1017</v>
      </c>
    </row>
    <row r="509" spans="1:8" ht="15" customHeight="1" x14ac:dyDescent="0.25">
      <c r="A509" s="262">
        <v>1117</v>
      </c>
      <c r="B509" s="278" t="s">
        <v>1961</v>
      </c>
      <c r="C509" s="278" t="s">
        <v>1962</v>
      </c>
      <c r="D509" s="278" t="s">
        <v>1963</v>
      </c>
      <c r="E509" s="278" t="s">
        <v>461</v>
      </c>
      <c r="F509" s="279">
        <v>6</v>
      </c>
      <c r="G509" s="279">
        <v>1118.6400000000001</v>
      </c>
      <c r="H509" s="280">
        <f t="shared" si="8"/>
        <v>948.00000000000011</v>
      </c>
    </row>
    <row r="510" spans="1:8" ht="15" customHeight="1" x14ac:dyDescent="0.25">
      <c r="A510" s="262">
        <v>1119</v>
      </c>
      <c r="B510" s="278" t="s">
        <v>1964</v>
      </c>
      <c r="C510" s="278" t="s">
        <v>1965</v>
      </c>
      <c r="D510" s="278" t="s">
        <v>1966</v>
      </c>
      <c r="E510" s="278" t="s">
        <v>461</v>
      </c>
      <c r="F510" s="279">
        <v>200</v>
      </c>
      <c r="G510" s="279">
        <v>23316</v>
      </c>
      <c r="H510" s="280">
        <f t="shared" si="8"/>
        <v>19759.322033898305</v>
      </c>
    </row>
    <row r="511" spans="1:8" ht="15" customHeight="1" x14ac:dyDescent="0.25">
      <c r="A511" s="262">
        <v>1121</v>
      </c>
      <c r="B511" s="278" t="s">
        <v>1967</v>
      </c>
      <c r="C511" s="278" t="s">
        <v>1968</v>
      </c>
      <c r="D511" s="278" t="s">
        <v>1969</v>
      </c>
      <c r="E511" s="278" t="s">
        <v>461</v>
      </c>
      <c r="F511" s="279">
        <v>36</v>
      </c>
      <c r="G511" s="279">
        <v>900</v>
      </c>
      <c r="H511" s="280">
        <f t="shared" si="8"/>
        <v>762.71186440677968</v>
      </c>
    </row>
    <row r="512" spans="1:8" ht="15" customHeight="1" x14ac:dyDescent="0.25">
      <c r="A512" s="262">
        <v>1123</v>
      </c>
      <c r="B512" s="278" t="s">
        <v>1970</v>
      </c>
      <c r="C512" s="278" t="s">
        <v>1971</v>
      </c>
      <c r="D512" s="278" t="s">
        <v>1972</v>
      </c>
      <c r="E512" s="278" t="s">
        <v>461</v>
      </c>
      <c r="F512" s="279">
        <v>65</v>
      </c>
      <c r="G512" s="279">
        <v>4218.5</v>
      </c>
      <c r="H512" s="280">
        <f t="shared" si="8"/>
        <v>3575</v>
      </c>
    </row>
    <row r="513" spans="1:8" ht="15" customHeight="1" x14ac:dyDescent="0.25">
      <c r="A513" s="262">
        <v>1125</v>
      </c>
      <c r="B513" s="278" t="s">
        <v>1973</v>
      </c>
      <c r="C513" s="278" t="s">
        <v>1974</v>
      </c>
      <c r="D513" s="278" t="s">
        <v>1975</v>
      </c>
      <c r="E513" s="278" t="s">
        <v>461</v>
      </c>
      <c r="F513" s="279">
        <v>144</v>
      </c>
      <c r="G513" s="279">
        <v>7920</v>
      </c>
      <c r="H513" s="280">
        <f t="shared" si="8"/>
        <v>6711.8644067796613</v>
      </c>
    </row>
    <row r="514" spans="1:8" ht="15" customHeight="1" x14ac:dyDescent="0.25">
      <c r="A514" s="262">
        <v>1127</v>
      </c>
      <c r="B514" s="278" t="s">
        <v>1976</v>
      </c>
      <c r="C514" s="278" t="s">
        <v>1977</v>
      </c>
      <c r="D514" s="278" t="s">
        <v>1978</v>
      </c>
      <c r="E514" s="278" t="s">
        <v>461</v>
      </c>
      <c r="F514" s="279">
        <v>1</v>
      </c>
      <c r="G514" s="279">
        <v>5605</v>
      </c>
      <c r="H514" s="280">
        <f t="shared" si="8"/>
        <v>4750</v>
      </c>
    </row>
    <row r="515" spans="1:8" ht="15" customHeight="1" x14ac:dyDescent="0.25">
      <c r="A515" s="262">
        <v>1129</v>
      </c>
      <c r="B515" s="278" t="s">
        <v>1979</v>
      </c>
      <c r="C515" s="278" t="s">
        <v>1980</v>
      </c>
      <c r="D515" s="278" t="s">
        <v>1981</v>
      </c>
      <c r="E515" s="278" t="s">
        <v>461</v>
      </c>
      <c r="F515" s="279">
        <v>15</v>
      </c>
      <c r="G515" s="279">
        <v>2566.5</v>
      </c>
      <c r="H515" s="280">
        <f t="shared" si="8"/>
        <v>2175</v>
      </c>
    </row>
    <row r="516" spans="1:8" ht="15" customHeight="1" x14ac:dyDescent="0.25">
      <c r="A516" s="262">
        <v>1131</v>
      </c>
      <c r="B516" s="278" t="s">
        <v>1982</v>
      </c>
      <c r="C516" s="278" t="s">
        <v>1983</v>
      </c>
      <c r="D516" s="278" t="s">
        <v>1984</v>
      </c>
      <c r="E516" s="278" t="s">
        <v>461</v>
      </c>
      <c r="F516" s="279">
        <v>45</v>
      </c>
      <c r="G516" s="279">
        <v>225</v>
      </c>
      <c r="H516" s="280">
        <f t="shared" si="8"/>
        <v>190.67796610169492</v>
      </c>
    </row>
    <row r="517" spans="1:8" ht="15" customHeight="1" x14ac:dyDescent="0.25">
      <c r="A517" s="262">
        <v>1133</v>
      </c>
      <c r="B517" s="278" t="s">
        <v>1985</v>
      </c>
      <c r="C517" s="278" t="s">
        <v>1986</v>
      </c>
      <c r="D517" s="278" t="s">
        <v>1987</v>
      </c>
      <c r="E517" s="278" t="s">
        <v>461</v>
      </c>
      <c r="F517" s="279">
        <v>330</v>
      </c>
      <c r="G517" s="279">
        <v>32709.599999999999</v>
      </c>
      <c r="H517" s="280">
        <f t="shared" si="8"/>
        <v>27720</v>
      </c>
    </row>
    <row r="518" spans="1:8" ht="15" customHeight="1" x14ac:dyDescent="0.25">
      <c r="A518" s="262">
        <v>1135</v>
      </c>
      <c r="B518" s="278" t="s">
        <v>1988</v>
      </c>
      <c r="C518" s="278" t="s">
        <v>1989</v>
      </c>
      <c r="D518" s="278" t="s">
        <v>1990</v>
      </c>
      <c r="E518" s="278" t="s">
        <v>461</v>
      </c>
      <c r="F518" s="279">
        <v>420</v>
      </c>
      <c r="G518" s="279">
        <v>151554.48000000001</v>
      </c>
      <c r="H518" s="280">
        <f t="shared" si="8"/>
        <v>128436.00000000001</v>
      </c>
    </row>
    <row r="519" spans="1:8" ht="15" customHeight="1" x14ac:dyDescent="0.25">
      <c r="A519" s="262">
        <v>1137</v>
      </c>
      <c r="B519" s="278" t="s">
        <v>1991</v>
      </c>
      <c r="C519" s="278" t="s">
        <v>1992</v>
      </c>
      <c r="D519" s="278" t="s">
        <v>1993</v>
      </c>
      <c r="E519" s="278" t="s">
        <v>461</v>
      </c>
      <c r="F519" s="279">
        <v>3</v>
      </c>
      <c r="G519" s="279">
        <v>164610</v>
      </c>
      <c r="H519" s="280">
        <f t="shared" si="8"/>
        <v>139500</v>
      </c>
    </row>
    <row r="520" spans="1:8" ht="15" customHeight="1" x14ac:dyDescent="0.25">
      <c r="A520" s="262">
        <v>1139</v>
      </c>
      <c r="B520" s="278" t="s">
        <v>1994</v>
      </c>
      <c r="C520" s="278" t="s">
        <v>1995</v>
      </c>
      <c r="D520" s="278" t="s">
        <v>1996</v>
      </c>
      <c r="E520" s="278" t="s">
        <v>461</v>
      </c>
      <c r="F520" s="279">
        <v>3</v>
      </c>
      <c r="G520" s="279">
        <v>71001</v>
      </c>
      <c r="H520" s="280">
        <f t="shared" si="8"/>
        <v>60170.338983050853</v>
      </c>
    </row>
    <row r="521" spans="1:8" ht="15" customHeight="1" x14ac:dyDescent="0.25">
      <c r="A521" s="262">
        <v>1141</v>
      </c>
      <c r="B521" s="278" t="s">
        <v>1997</v>
      </c>
      <c r="C521" s="278" t="s">
        <v>1998</v>
      </c>
      <c r="D521" s="278" t="s">
        <v>1999</v>
      </c>
      <c r="E521" s="278" t="s">
        <v>461</v>
      </c>
      <c r="F521" s="279">
        <v>14</v>
      </c>
      <c r="G521" s="279">
        <v>14868</v>
      </c>
      <c r="H521" s="280">
        <f t="shared" ref="H521:H546" si="9">G521/1.18</f>
        <v>12600</v>
      </c>
    </row>
    <row r="522" spans="1:8" ht="15" customHeight="1" x14ac:dyDescent="0.25">
      <c r="A522" s="262">
        <v>1143</v>
      </c>
      <c r="B522" s="278" t="s">
        <v>2000</v>
      </c>
      <c r="C522" s="278" t="s">
        <v>2001</v>
      </c>
      <c r="D522" s="278" t="s">
        <v>2002</v>
      </c>
      <c r="E522" s="278" t="s">
        <v>461</v>
      </c>
      <c r="F522" s="279">
        <v>1</v>
      </c>
      <c r="G522" s="279">
        <v>2814</v>
      </c>
      <c r="H522" s="280">
        <f t="shared" si="9"/>
        <v>2384.7457627118647</v>
      </c>
    </row>
    <row r="523" spans="1:8" ht="15" customHeight="1" x14ac:dyDescent="0.25">
      <c r="A523" s="262">
        <v>1145</v>
      </c>
      <c r="B523" s="278" t="s">
        <v>2003</v>
      </c>
      <c r="C523" s="278" t="s">
        <v>2004</v>
      </c>
      <c r="D523" s="278" t="s">
        <v>2005</v>
      </c>
      <c r="E523" s="278" t="s">
        <v>461</v>
      </c>
      <c r="F523" s="279">
        <v>1</v>
      </c>
      <c r="G523" s="279">
        <v>512.27</v>
      </c>
      <c r="H523" s="280">
        <f t="shared" si="9"/>
        <v>434.12711864406782</v>
      </c>
    </row>
    <row r="524" spans="1:8" ht="15" customHeight="1" x14ac:dyDescent="0.25">
      <c r="A524" s="262">
        <v>1147</v>
      </c>
      <c r="B524" s="278" t="s">
        <v>2006</v>
      </c>
      <c r="C524" s="278" t="s">
        <v>2007</v>
      </c>
      <c r="D524" s="278" t="s">
        <v>2008</v>
      </c>
      <c r="E524" s="278" t="s">
        <v>461</v>
      </c>
      <c r="F524" s="279">
        <v>3</v>
      </c>
      <c r="G524" s="279">
        <v>3363</v>
      </c>
      <c r="H524" s="280">
        <f t="shared" si="9"/>
        <v>2850</v>
      </c>
    </row>
    <row r="525" spans="1:8" ht="15" customHeight="1" x14ac:dyDescent="0.25">
      <c r="A525" s="262">
        <v>1149</v>
      </c>
      <c r="B525" s="278" t="s">
        <v>2009</v>
      </c>
      <c r="C525" s="278" t="s">
        <v>2010</v>
      </c>
      <c r="D525" s="278" t="s">
        <v>2011</v>
      </c>
      <c r="E525" s="278" t="s">
        <v>461</v>
      </c>
      <c r="F525" s="279">
        <v>340</v>
      </c>
      <c r="G525" s="279">
        <v>5123.33</v>
      </c>
      <c r="H525" s="280">
        <f t="shared" si="9"/>
        <v>4341.8050847457625</v>
      </c>
    </row>
    <row r="526" spans="1:8" ht="15" customHeight="1" x14ac:dyDescent="0.25">
      <c r="A526" s="262">
        <v>1151</v>
      </c>
      <c r="B526" s="278" t="s">
        <v>2012</v>
      </c>
      <c r="C526" s="278" t="s">
        <v>2013</v>
      </c>
      <c r="D526" s="278" t="s">
        <v>2014</v>
      </c>
      <c r="E526" s="278" t="s">
        <v>461</v>
      </c>
      <c r="F526" s="279">
        <v>500</v>
      </c>
      <c r="G526" s="279">
        <v>8962.1</v>
      </c>
      <c r="H526" s="280">
        <f t="shared" si="9"/>
        <v>7595.0000000000009</v>
      </c>
    </row>
    <row r="527" spans="1:8" ht="15" customHeight="1" x14ac:dyDescent="0.25">
      <c r="A527" s="262">
        <v>1153</v>
      </c>
      <c r="B527" s="278" t="s">
        <v>2015</v>
      </c>
      <c r="C527" s="278" t="s">
        <v>2016</v>
      </c>
      <c r="D527" s="278" t="s">
        <v>2017</v>
      </c>
      <c r="E527" s="278" t="s">
        <v>461</v>
      </c>
      <c r="F527" s="279">
        <v>1040</v>
      </c>
      <c r="G527" s="279">
        <v>36766.910000000003</v>
      </c>
      <c r="H527" s="280">
        <f t="shared" si="9"/>
        <v>31158.398305084749</v>
      </c>
    </row>
    <row r="528" spans="1:8" ht="15" customHeight="1" x14ac:dyDescent="0.25">
      <c r="A528" s="262">
        <v>1155</v>
      </c>
      <c r="B528" s="278" t="s">
        <v>2018</v>
      </c>
      <c r="C528" s="278" t="s">
        <v>2019</v>
      </c>
      <c r="D528" s="278" t="s">
        <v>2020</v>
      </c>
      <c r="E528" s="278" t="s">
        <v>461</v>
      </c>
      <c r="F528" s="279">
        <v>950</v>
      </c>
      <c r="G528" s="279">
        <v>46297.3</v>
      </c>
      <c r="H528" s="280">
        <f t="shared" si="9"/>
        <v>39235.000000000007</v>
      </c>
    </row>
    <row r="529" spans="1:8" ht="15" customHeight="1" x14ac:dyDescent="0.25">
      <c r="A529" s="262">
        <v>1157</v>
      </c>
      <c r="B529" s="278" t="s">
        <v>2021</v>
      </c>
      <c r="C529" s="278" t="s">
        <v>2022</v>
      </c>
      <c r="D529" s="278" t="s">
        <v>2023</v>
      </c>
      <c r="E529" s="278" t="s">
        <v>461</v>
      </c>
      <c r="F529" s="279">
        <v>1</v>
      </c>
      <c r="G529" s="279">
        <v>8142</v>
      </c>
      <c r="H529" s="280">
        <f t="shared" si="9"/>
        <v>6900</v>
      </c>
    </row>
    <row r="530" spans="1:8" ht="15" customHeight="1" x14ac:dyDescent="0.25">
      <c r="A530" s="262">
        <v>1159</v>
      </c>
      <c r="B530" s="278" t="s">
        <v>2024</v>
      </c>
      <c r="C530" s="278" t="s">
        <v>2025</v>
      </c>
      <c r="D530" s="278" t="s">
        <v>2026</v>
      </c>
      <c r="E530" s="278" t="s">
        <v>461</v>
      </c>
      <c r="F530" s="279">
        <v>4</v>
      </c>
      <c r="G530" s="279">
        <v>4248</v>
      </c>
      <c r="H530" s="280">
        <f t="shared" si="9"/>
        <v>3600</v>
      </c>
    </row>
    <row r="531" spans="1:8" ht="15" customHeight="1" x14ac:dyDescent="0.25">
      <c r="A531" s="262">
        <v>1161</v>
      </c>
      <c r="B531" s="278" t="s">
        <v>2027</v>
      </c>
      <c r="C531" s="278" t="s">
        <v>2028</v>
      </c>
      <c r="D531" s="278" t="s">
        <v>2029</v>
      </c>
      <c r="E531" s="278" t="s">
        <v>461</v>
      </c>
      <c r="F531" s="279">
        <v>11</v>
      </c>
      <c r="G531" s="279">
        <v>116171</v>
      </c>
      <c r="H531" s="280">
        <f t="shared" si="9"/>
        <v>98450</v>
      </c>
    </row>
    <row r="532" spans="1:8" ht="15" customHeight="1" x14ac:dyDescent="0.25">
      <c r="A532" s="262">
        <v>1163</v>
      </c>
      <c r="B532" s="278" t="s">
        <v>2030</v>
      </c>
      <c r="C532" s="278" t="s">
        <v>2031</v>
      </c>
      <c r="D532" s="278" t="s">
        <v>2032</v>
      </c>
      <c r="E532" s="278" t="s">
        <v>461</v>
      </c>
      <c r="F532" s="279">
        <v>14</v>
      </c>
      <c r="G532" s="279">
        <v>14042</v>
      </c>
      <c r="H532" s="280">
        <f t="shared" si="9"/>
        <v>11900</v>
      </c>
    </row>
    <row r="533" spans="1:8" ht="15" customHeight="1" x14ac:dyDescent="0.25">
      <c r="A533" s="262">
        <v>1165</v>
      </c>
      <c r="B533" s="278" t="s">
        <v>2033</v>
      </c>
      <c r="C533" s="278" t="s">
        <v>2034</v>
      </c>
      <c r="D533" s="278" t="s">
        <v>2035</v>
      </c>
      <c r="E533" s="278" t="s">
        <v>461</v>
      </c>
      <c r="F533" s="279">
        <v>16</v>
      </c>
      <c r="G533" s="279">
        <v>14160</v>
      </c>
      <c r="H533" s="280">
        <f t="shared" si="9"/>
        <v>12000</v>
      </c>
    </row>
    <row r="534" spans="1:8" ht="15" customHeight="1" x14ac:dyDescent="0.25">
      <c r="A534" s="262">
        <v>1167</v>
      </c>
      <c r="B534" s="278" t="s">
        <v>2036</v>
      </c>
      <c r="C534" s="278" t="s">
        <v>2037</v>
      </c>
      <c r="D534" s="278" t="s">
        <v>2038</v>
      </c>
      <c r="E534" s="278" t="s">
        <v>461</v>
      </c>
      <c r="F534" s="279">
        <v>10</v>
      </c>
      <c r="G534" s="279">
        <v>1829</v>
      </c>
      <c r="H534" s="280">
        <f t="shared" si="9"/>
        <v>1550</v>
      </c>
    </row>
    <row r="535" spans="1:8" ht="15" customHeight="1" x14ac:dyDescent="0.25">
      <c r="A535" s="262">
        <v>1169</v>
      </c>
      <c r="B535" s="278" t="s">
        <v>2039</v>
      </c>
      <c r="C535" s="278" t="s">
        <v>2040</v>
      </c>
      <c r="D535" s="278" t="s">
        <v>2041</v>
      </c>
      <c r="E535" s="278" t="s">
        <v>461</v>
      </c>
      <c r="F535" s="279">
        <v>10</v>
      </c>
      <c r="G535" s="279">
        <v>3009</v>
      </c>
      <c r="H535" s="280">
        <f t="shared" si="9"/>
        <v>2550</v>
      </c>
    </row>
    <row r="536" spans="1:8" ht="15" customHeight="1" x14ac:dyDescent="0.25">
      <c r="A536" s="262">
        <v>1171</v>
      </c>
      <c r="B536" s="278" t="s">
        <v>2042</v>
      </c>
      <c r="C536" s="278" t="s">
        <v>2043</v>
      </c>
      <c r="D536" s="278" t="s">
        <v>2044</v>
      </c>
      <c r="E536" s="278" t="s">
        <v>461</v>
      </c>
      <c r="F536" s="279">
        <v>1</v>
      </c>
      <c r="G536" s="279">
        <v>666.7</v>
      </c>
      <c r="H536" s="280">
        <f t="shared" si="9"/>
        <v>565.00000000000011</v>
      </c>
    </row>
    <row r="537" spans="1:8" ht="15" customHeight="1" x14ac:dyDescent="0.25">
      <c r="A537" s="262">
        <v>1173</v>
      </c>
      <c r="B537" s="278" t="s">
        <v>2045</v>
      </c>
      <c r="C537" s="278" t="s">
        <v>2046</v>
      </c>
      <c r="D537" s="278" t="s">
        <v>2047</v>
      </c>
      <c r="E537" s="278" t="s">
        <v>461</v>
      </c>
      <c r="F537" s="279">
        <v>1350</v>
      </c>
      <c r="G537" s="279">
        <v>124254</v>
      </c>
      <c r="H537" s="280">
        <f t="shared" si="9"/>
        <v>105300</v>
      </c>
    </row>
    <row r="538" spans="1:8" ht="15" customHeight="1" x14ac:dyDescent="0.25">
      <c r="A538" s="262">
        <v>1175</v>
      </c>
      <c r="B538" s="278" t="s">
        <v>2048</v>
      </c>
      <c r="C538" s="278" t="s">
        <v>2049</v>
      </c>
      <c r="D538" s="278" t="s">
        <v>2050</v>
      </c>
      <c r="E538" s="278" t="s">
        <v>461</v>
      </c>
      <c r="F538" s="279">
        <v>63</v>
      </c>
      <c r="G538" s="279">
        <v>34568.1</v>
      </c>
      <c r="H538" s="280">
        <f t="shared" si="9"/>
        <v>29295</v>
      </c>
    </row>
    <row r="539" spans="1:8" ht="15" customHeight="1" x14ac:dyDescent="0.25">
      <c r="A539" s="262">
        <v>1177</v>
      </c>
      <c r="B539" s="278" t="s">
        <v>2051</v>
      </c>
      <c r="C539" s="278" t="s">
        <v>2052</v>
      </c>
      <c r="D539" s="278" t="s">
        <v>2053</v>
      </c>
      <c r="E539" s="278" t="s">
        <v>461</v>
      </c>
      <c r="F539" s="279">
        <v>59</v>
      </c>
      <c r="G539" s="279">
        <v>56740.3</v>
      </c>
      <c r="H539" s="280">
        <f t="shared" si="9"/>
        <v>48085.000000000007</v>
      </c>
    </row>
    <row r="540" spans="1:8" ht="15" customHeight="1" x14ac:dyDescent="0.25">
      <c r="A540" s="262">
        <v>1179</v>
      </c>
      <c r="B540" s="278" t="s">
        <v>2054</v>
      </c>
      <c r="C540" s="278" t="s">
        <v>2055</v>
      </c>
      <c r="D540" s="278" t="s">
        <v>2056</v>
      </c>
      <c r="E540" s="278" t="s">
        <v>461</v>
      </c>
      <c r="F540" s="279">
        <v>31</v>
      </c>
      <c r="G540" s="279">
        <v>1498.23</v>
      </c>
      <c r="H540" s="280">
        <f t="shared" si="9"/>
        <v>1269.6864406779662</v>
      </c>
    </row>
    <row r="541" spans="1:8" ht="15" customHeight="1" x14ac:dyDescent="0.25">
      <c r="A541" s="262">
        <v>1181</v>
      </c>
      <c r="B541" s="278" t="s">
        <v>2057</v>
      </c>
      <c r="C541" s="278" t="s">
        <v>2058</v>
      </c>
      <c r="D541" s="278" t="s">
        <v>2059</v>
      </c>
      <c r="E541" s="278" t="s">
        <v>461</v>
      </c>
      <c r="F541" s="279">
        <v>2</v>
      </c>
      <c r="G541" s="279">
        <v>39800.01</v>
      </c>
      <c r="H541" s="280">
        <f t="shared" si="9"/>
        <v>33728.822033898308</v>
      </c>
    </row>
    <row r="542" spans="1:8" ht="15" customHeight="1" x14ac:dyDescent="0.25">
      <c r="A542" s="262">
        <v>1183</v>
      </c>
      <c r="B542" s="278" t="s">
        <v>2060</v>
      </c>
      <c r="C542" s="278" t="s">
        <v>2061</v>
      </c>
      <c r="D542" s="278" t="s">
        <v>2062</v>
      </c>
      <c r="E542" s="278" t="s">
        <v>461</v>
      </c>
      <c r="F542" s="279">
        <v>4</v>
      </c>
      <c r="G542" s="279">
        <v>9600</v>
      </c>
      <c r="H542" s="280">
        <f t="shared" si="9"/>
        <v>8135.5932203389839</v>
      </c>
    </row>
    <row r="543" spans="1:8" ht="15" customHeight="1" x14ac:dyDescent="0.25">
      <c r="A543" s="262">
        <v>1185</v>
      </c>
      <c r="B543" s="278" t="s">
        <v>2063</v>
      </c>
      <c r="C543" s="278" t="s">
        <v>2064</v>
      </c>
      <c r="D543" s="278" t="s">
        <v>2065</v>
      </c>
      <c r="E543" s="278" t="s">
        <v>461</v>
      </c>
      <c r="F543" s="279">
        <v>200</v>
      </c>
      <c r="G543" s="279">
        <v>9400</v>
      </c>
      <c r="H543" s="280">
        <f t="shared" si="9"/>
        <v>7966.1016949152545</v>
      </c>
    </row>
    <row r="544" spans="1:8" ht="15" customHeight="1" x14ac:dyDescent="0.25">
      <c r="A544" s="262">
        <v>1187</v>
      </c>
      <c r="B544" s="278" t="s">
        <v>2066</v>
      </c>
      <c r="C544" s="278" t="s">
        <v>2067</v>
      </c>
      <c r="D544" s="278" t="s">
        <v>2068</v>
      </c>
      <c r="E544" s="278" t="s">
        <v>461</v>
      </c>
      <c r="F544" s="279">
        <v>33</v>
      </c>
      <c r="G544" s="279">
        <v>126555</v>
      </c>
      <c r="H544" s="280">
        <f t="shared" si="9"/>
        <v>107250</v>
      </c>
    </row>
    <row r="545" spans="1:8" ht="15" customHeight="1" x14ac:dyDescent="0.25">
      <c r="A545" s="262">
        <v>1189</v>
      </c>
      <c r="B545" s="278" t="s">
        <v>2069</v>
      </c>
      <c r="C545" s="278" t="s">
        <v>2070</v>
      </c>
      <c r="D545" s="278" t="s">
        <v>2071</v>
      </c>
      <c r="E545" s="278" t="s">
        <v>461</v>
      </c>
      <c r="F545" s="279">
        <v>12</v>
      </c>
      <c r="G545" s="279">
        <v>24723.360000000001</v>
      </c>
      <c r="H545" s="280">
        <f t="shared" si="9"/>
        <v>20952</v>
      </c>
    </row>
    <row r="546" spans="1:8" ht="15" customHeight="1" x14ac:dyDescent="0.25">
      <c r="A546" s="262">
        <v>1191</v>
      </c>
      <c r="B546" s="278" t="s">
        <v>2072</v>
      </c>
      <c r="C546" s="278" t="s">
        <v>2073</v>
      </c>
      <c r="D546" s="278" t="s">
        <v>2074</v>
      </c>
      <c r="E546" s="278" t="s">
        <v>461</v>
      </c>
      <c r="F546" s="279">
        <v>60</v>
      </c>
      <c r="G546" s="279">
        <v>18054</v>
      </c>
      <c r="H546" s="280">
        <f t="shared" si="9"/>
        <v>15300</v>
      </c>
    </row>
    <row r="548" spans="1:8" ht="15" customHeight="1" x14ac:dyDescent="0.25">
      <c r="D548" s="273" t="s">
        <v>213</v>
      </c>
      <c r="E548" s="273"/>
      <c r="F548" s="281"/>
      <c r="G548" s="281">
        <f>SUM(G7:G547)</f>
        <v>18616124.069999997</v>
      </c>
      <c r="H548" s="282">
        <f>SUM(H7:H547)</f>
        <v>15776376.330508476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4:AB782"/>
  <sheetViews>
    <sheetView workbookViewId="0">
      <selection activeCell="J20" sqref="J20"/>
    </sheetView>
  </sheetViews>
  <sheetFormatPr baseColWidth="10" defaultColWidth="9.140625" defaultRowHeight="15" x14ac:dyDescent="0.25"/>
  <cols>
    <col min="1" max="1" width="1.28515625" style="1" customWidth="1"/>
    <col min="2" max="2" width="43.42578125" style="15" customWidth="1"/>
    <col min="3" max="3" width="17.85546875" style="1" customWidth="1"/>
    <col min="4" max="4" width="18.5703125" style="2" customWidth="1"/>
    <col min="5" max="5" width="17.140625" style="1" customWidth="1"/>
    <col min="6" max="6" width="1" style="1" customWidth="1"/>
    <col min="7" max="7" width="11.42578125" style="1" bestFit="1" customWidth="1"/>
    <col min="8" max="8" width="7" style="1" hidden="1" customWidth="1"/>
    <col min="9" max="9" width="31" style="1" hidden="1" customWidth="1"/>
    <col min="10" max="10" width="5.28515625" style="2" customWidth="1"/>
    <col min="11" max="11" width="17.5703125" style="2" hidden="1" customWidth="1"/>
    <col min="12" max="13" width="5.28515625" style="1" hidden="1" customWidth="1"/>
    <col min="14" max="14" width="5.28515625" style="2" customWidth="1"/>
    <col min="15" max="15" width="31" style="1" hidden="1" customWidth="1"/>
    <col min="16" max="16" width="5.5703125" style="1" hidden="1" customWidth="1"/>
    <col min="17" max="17" width="31" style="1" hidden="1" customWidth="1"/>
    <col min="18" max="18" width="15" style="3" bestFit="1" customWidth="1"/>
    <col min="19" max="19" width="11.7109375" style="3" bestFit="1" customWidth="1"/>
    <col min="20" max="22" width="4" style="3" bestFit="1" customWidth="1"/>
    <col min="23" max="23" width="3.5703125" style="3" bestFit="1" customWidth="1"/>
    <col min="24" max="24" width="3.5703125" style="3" hidden="1" customWidth="1"/>
    <col min="25" max="25" width="31" style="3" hidden="1" customWidth="1"/>
    <col min="26" max="26" width="12.85546875" style="2" bestFit="1" customWidth="1"/>
    <col min="27" max="27" width="5.140625" style="1" bestFit="1" customWidth="1"/>
    <col min="28" max="28" width="8.85546875" style="1" customWidth="1"/>
    <col min="29" max="256" width="9.140625" style="1"/>
    <col min="257" max="257" width="1.28515625" style="1" customWidth="1"/>
    <col min="258" max="258" width="43.42578125" style="1" customWidth="1"/>
    <col min="259" max="259" width="17.85546875" style="1" customWidth="1"/>
    <col min="260" max="260" width="18.5703125" style="1" customWidth="1"/>
    <col min="261" max="261" width="17.140625" style="1" customWidth="1"/>
    <col min="262" max="262" width="1" style="1" customWidth="1"/>
    <col min="263" max="263" width="11.42578125" style="1" bestFit="1" customWidth="1"/>
    <col min="264" max="265" width="0" style="1" hidden="1" customWidth="1"/>
    <col min="266" max="266" width="5.28515625" style="1" customWidth="1"/>
    <col min="267" max="269" width="0" style="1" hidden="1" customWidth="1"/>
    <col min="270" max="270" width="5.28515625" style="1" customWidth="1"/>
    <col min="271" max="273" width="0" style="1" hidden="1" customWidth="1"/>
    <col min="274" max="274" width="15" style="1" bestFit="1" customWidth="1"/>
    <col min="275" max="275" width="11.7109375" style="1" bestFit="1" customWidth="1"/>
    <col min="276" max="278" width="4" style="1" bestFit="1" customWidth="1"/>
    <col min="279" max="279" width="3.5703125" style="1" bestFit="1" customWidth="1"/>
    <col min="280" max="281" width="0" style="1" hidden="1" customWidth="1"/>
    <col min="282" max="282" width="12.85546875" style="1" bestFit="1" customWidth="1"/>
    <col min="283" max="283" width="5.140625" style="1" bestFit="1" customWidth="1"/>
    <col min="284" max="284" width="8.85546875" style="1" customWidth="1"/>
    <col min="285" max="512" width="9.140625" style="1"/>
    <col min="513" max="513" width="1.28515625" style="1" customWidth="1"/>
    <col min="514" max="514" width="43.42578125" style="1" customWidth="1"/>
    <col min="515" max="515" width="17.85546875" style="1" customWidth="1"/>
    <col min="516" max="516" width="18.5703125" style="1" customWidth="1"/>
    <col min="517" max="517" width="17.140625" style="1" customWidth="1"/>
    <col min="518" max="518" width="1" style="1" customWidth="1"/>
    <col min="519" max="519" width="11.42578125" style="1" bestFit="1" customWidth="1"/>
    <col min="520" max="521" width="0" style="1" hidden="1" customWidth="1"/>
    <col min="522" max="522" width="5.28515625" style="1" customWidth="1"/>
    <col min="523" max="525" width="0" style="1" hidden="1" customWidth="1"/>
    <col min="526" max="526" width="5.28515625" style="1" customWidth="1"/>
    <col min="527" max="529" width="0" style="1" hidden="1" customWidth="1"/>
    <col min="530" max="530" width="15" style="1" bestFit="1" customWidth="1"/>
    <col min="531" max="531" width="11.7109375" style="1" bestFit="1" customWidth="1"/>
    <col min="532" max="534" width="4" style="1" bestFit="1" customWidth="1"/>
    <col min="535" max="535" width="3.5703125" style="1" bestFit="1" customWidth="1"/>
    <col min="536" max="537" width="0" style="1" hidden="1" customWidth="1"/>
    <col min="538" max="538" width="12.85546875" style="1" bestFit="1" customWidth="1"/>
    <col min="539" max="539" width="5.140625" style="1" bestFit="1" customWidth="1"/>
    <col min="540" max="540" width="8.85546875" style="1" customWidth="1"/>
    <col min="541" max="768" width="9.140625" style="1"/>
    <col min="769" max="769" width="1.28515625" style="1" customWidth="1"/>
    <col min="770" max="770" width="43.42578125" style="1" customWidth="1"/>
    <col min="771" max="771" width="17.85546875" style="1" customWidth="1"/>
    <col min="772" max="772" width="18.5703125" style="1" customWidth="1"/>
    <col min="773" max="773" width="17.140625" style="1" customWidth="1"/>
    <col min="774" max="774" width="1" style="1" customWidth="1"/>
    <col min="775" max="775" width="11.42578125" style="1" bestFit="1" customWidth="1"/>
    <col min="776" max="777" width="0" style="1" hidden="1" customWidth="1"/>
    <col min="778" max="778" width="5.28515625" style="1" customWidth="1"/>
    <col min="779" max="781" width="0" style="1" hidden="1" customWidth="1"/>
    <col min="782" max="782" width="5.28515625" style="1" customWidth="1"/>
    <col min="783" max="785" width="0" style="1" hidden="1" customWidth="1"/>
    <col min="786" max="786" width="15" style="1" bestFit="1" customWidth="1"/>
    <col min="787" max="787" width="11.7109375" style="1" bestFit="1" customWidth="1"/>
    <col min="788" max="790" width="4" style="1" bestFit="1" customWidth="1"/>
    <col min="791" max="791" width="3.5703125" style="1" bestFit="1" customWidth="1"/>
    <col min="792" max="793" width="0" style="1" hidden="1" customWidth="1"/>
    <col min="794" max="794" width="12.85546875" style="1" bestFit="1" customWidth="1"/>
    <col min="795" max="795" width="5.140625" style="1" bestFit="1" customWidth="1"/>
    <col min="796" max="796" width="8.85546875" style="1" customWidth="1"/>
    <col min="797" max="1024" width="9.140625" style="1"/>
    <col min="1025" max="1025" width="1.28515625" style="1" customWidth="1"/>
    <col min="1026" max="1026" width="43.42578125" style="1" customWidth="1"/>
    <col min="1027" max="1027" width="17.85546875" style="1" customWidth="1"/>
    <col min="1028" max="1028" width="18.5703125" style="1" customWidth="1"/>
    <col min="1029" max="1029" width="17.140625" style="1" customWidth="1"/>
    <col min="1030" max="1030" width="1" style="1" customWidth="1"/>
    <col min="1031" max="1031" width="11.42578125" style="1" bestFit="1" customWidth="1"/>
    <col min="1032" max="1033" width="0" style="1" hidden="1" customWidth="1"/>
    <col min="1034" max="1034" width="5.28515625" style="1" customWidth="1"/>
    <col min="1035" max="1037" width="0" style="1" hidden="1" customWidth="1"/>
    <col min="1038" max="1038" width="5.28515625" style="1" customWidth="1"/>
    <col min="1039" max="1041" width="0" style="1" hidden="1" customWidth="1"/>
    <col min="1042" max="1042" width="15" style="1" bestFit="1" customWidth="1"/>
    <col min="1043" max="1043" width="11.7109375" style="1" bestFit="1" customWidth="1"/>
    <col min="1044" max="1046" width="4" style="1" bestFit="1" customWidth="1"/>
    <col min="1047" max="1047" width="3.5703125" style="1" bestFit="1" customWidth="1"/>
    <col min="1048" max="1049" width="0" style="1" hidden="1" customWidth="1"/>
    <col min="1050" max="1050" width="12.85546875" style="1" bestFit="1" customWidth="1"/>
    <col min="1051" max="1051" width="5.140625" style="1" bestFit="1" customWidth="1"/>
    <col min="1052" max="1052" width="8.85546875" style="1" customWidth="1"/>
    <col min="1053" max="1280" width="9.140625" style="1"/>
    <col min="1281" max="1281" width="1.28515625" style="1" customWidth="1"/>
    <col min="1282" max="1282" width="43.42578125" style="1" customWidth="1"/>
    <col min="1283" max="1283" width="17.85546875" style="1" customWidth="1"/>
    <col min="1284" max="1284" width="18.5703125" style="1" customWidth="1"/>
    <col min="1285" max="1285" width="17.140625" style="1" customWidth="1"/>
    <col min="1286" max="1286" width="1" style="1" customWidth="1"/>
    <col min="1287" max="1287" width="11.42578125" style="1" bestFit="1" customWidth="1"/>
    <col min="1288" max="1289" width="0" style="1" hidden="1" customWidth="1"/>
    <col min="1290" max="1290" width="5.28515625" style="1" customWidth="1"/>
    <col min="1291" max="1293" width="0" style="1" hidden="1" customWidth="1"/>
    <col min="1294" max="1294" width="5.28515625" style="1" customWidth="1"/>
    <col min="1295" max="1297" width="0" style="1" hidden="1" customWidth="1"/>
    <col min="1298" max="1298" width="15" style="1" bestFit="1" customWidth="1"/>
    <col min="1299" max="1299" width="11.7109375" style="1" bestFit="1" customWidth="1"/>
    <col min="1300" max="1302" width="4" style="1" bestFit="1" customWidth="1"/>
    <col min="1303" max="1303" width="3.5703125" style="1" bestFit="1" customWidth="1"/>
    <col min="1304" max="1305" width="0" style="1" hidden="1" customWidth="1"/>
    <col min="1306" max="1306" width="12.85546875" style="1" bestFit="1" customWidth="1"/>
    <col min="1307" max="1307" width="5.140625" style="1" bestFit="1" customWidth="1"/>
    <col min="1308" max="1308" width="8.85546875" style="1" customWidth="1"/>
    <col min="1309" max="1536" width="9.140625" style="1"/>
    <col min="1537" max="1537" width="1.28515625" style="1" customWidth="1"/>
    <col min="1538" max="1538" width="43.42578125" style="1" customWidth="1"/>
    <col min="1539" max="1539" width="17.85546875" style="1" customWidth="1"/>
    <col min="1540" max="1540" width="18.5703125" style="1" customWidth="1"/>
    <col min="1541" max="1541" width="17.140625" style="1" customWidth="1"/>
    <col min="1542" max="1542" width="1" style="1" customWidth="1"/>
    <col min="1543" max="1543" width="11.42578125" style="1" bestFit="1" customWidth="1"/>
    <col min="1544" max="1545" width="0" style="1" hidden="1" customWidth="1"/>
    <col min="1546" max="1546" width="5.28515625" style="1" customWidth="1"/>
    <col min="1547" max="1549" width="0" style="1" hidden="1" customWidth="1"/>
    <col min="1550" max="1550" width="5.28515625" style="1" customWidth="1"/>
    <col min="1551" max="1553" width="0" style="1" hidden="1" customWidth="1"/>
    <col min="1554" max="1554" width="15" style="1" bestFit="1" customWidth="1"/>
    <col min="1555" max="1555" width="11.7109375" style="1" bestFit="1" customWidth="1"/>
    <col min="1556" max="1558" width="4" style="1" bestFit="1" customWidth="1"/>
    <col min="1559" max="1559" width="3.5703125" style="1" bestFit="1" customWidth="1"/>
    <col min="1560" max="1561" width="0" style="1" hidden="1" customWidth="1"/>
    <col min="1562" max="1562" width="12.85546875" style="1" bestFit="1" customWidth="1"/>
    <col min="1563" max="1563" width="5.140625" style="1" bestFit="1" customWidth="1"/>
    <col min="1564" max="1564" width="8.85546875" style="1" customWidth="1"/>
    <col min="1565" max="1792" width="9.140625" style="1"/>
    <col min="1793" max="1793" width="1.28515625" style="1" customWidth="1"/>
    <col min="1794" max="1794" width="43.42578125" style="1" customWidth="1"/>
    <col min="1795" max="1795" width="17.85546875" style="1" customWidth="1"/>
    <col min="1796" max="1796" width="18.5703125" style="1" customWidth="1"/>
    <col min="1797" max="1797" width="17.140625" style="1" customWidth="1"/>
    <col min="1798" max="1798" width="1" style="1" customWidth="1"/>
    <col min="1799" max="1799" width="11.42578125" style="1" bestFit="1" customWidth="1"/>
    <col min="1800" max="1801" width="0" style="1" hidden="1" customWidth="1"/>
    <col min="1802" max="1802" width="5.28515625" style="1" customWidth="1"/>
    <col min="1803" max="1805" width="0" style="1" hidden="1" customWidth="1"/>
    <col min="1806" max="1806" width="5.28515625" style="1" customWidth="1"/>
    <col min="1807" max="1809" width="0" style="1" hidden="1" customWidth="1"/>
    <col min="1810" max="1810" width="15" style="1" bestFit="1" customWidth="1"/>
    <col min="1811" max="1811" width="11.7109375" style="1" bestFit="1" customWidth="1"/>
    <col min="1812" max="1814" width="4" style="1" bestFit="1" customWidth="1"/>
    <col min="1815" max="1815" width="3.5703125" style="1" bestFit="1" customWidth="1"/>
    <col min="1816" max="1817" width="0" style="1" hidden="1" customWidth="1"/>
    <col min="1818" max="1818" width="12.85546875" style="1" bestFit="1" customWidth="1"/>
    <col min="1819" max="1819" width="5.140625" style="1" bestFit="1" customWidth="1"/>
    <col min="1820" max="1820" width="8.85546875" style="1" customWidth="1"/>
    <col min="1821" max="2048" width="9.140625" style="1"/>
    <col min="2049" max="2049" width="1.28515625" style="1" customWidth="1"/>
    <col min="2050" max="2050" width="43.42578125" style="1" customWidth="1"/>
    <col min="2051" max="2051" width="17.85546875" style="1" customWidth="1"/>
    <col min="2052" max="2052" width="18.5703125" style="1" customWidth="1"/>
    <col min="2053" max="2053" width="17.140625" style="1" customWidth="1"/>
    <col min="2054" max="2054" width="1" style="1" customWidth="1"/>
    <col min="2055" max="2055" width="11.42578125" style="1" bestFit="1" customWidth="1"/>
    <col min="2056" max="2057" width="0" style="1" hidden="1" customWidth="1"/>
    <col min="2058" max="2058" width="5.28515625" style="1" customWidth="1"/>
    <col min="2059" max="2061" width="0" style="1" hidden="1" customWidth="1"/>
    <col min="2062" max="2062" width="5.28515625" style="1" customWidth="1"/>
    <col min="2063" max="2065" width="0" style="1" hidden="1" customWidth="1"/>
    <col min="2066" max="2066" width="15" style="1" bestFit="1" customWidth="1"/>
    <col min="2067" max="2067" width="11.7109375" style="1" bestFit="1" customWidth="1"/>
    <col min="2068" max="2070" width="4" style="1" bestFit="1" customWidth="1"/>
    <col min="2071" max="2071" width="3.5703125" style="1" bestFit="1" customWidth="1"/>
    <col min="2072" max="2073" width="0" style="1" hidden="1" customWidth="1"/>
    <col min="2074" max="2074" width="12.85546875" style="1" bestFit="1" customWidth="1"/>
    <col min="2075" max="2075" width="5.140625" style="1" bestFit="1" customWidth="1"/>
    <col min="2076" max="2076" width="8.85546875" style="1" customWidth="1"/>
    <col min="2077" max="2304" width="9.140625" style="1"/>
    <col min="2305" max="2305" width="1.28515625" style="1" customWidth="1"/>
    <col min="2306" max="2306" width="43.42578125" style="1" customWidth="1"/>
    <col min="2307" max="2307" width="17.85546875" style="1" customWidth="1"/>
    <col min="2308" max="2308" width="18.5703125" style="1" customWidth="1"/>
    <col min="2309" max="2309" width="17.140625" style="1" customWidth="1"/>
    <col min="2310" max="2310" width="1" style="1" customWidth="1"/>
    <col min="2311" max="2311" width="11.42578125" style="1" bestFit="1" customWidth="1"/>
    <col min="2312" max="2313" width="0" style="1" hidden="1" customWidth="1"/>
    <col min="2314" max="2314" width="5.28515625" style="1" customWidth="1"/>
    <col min="2315" max="2317" width="0" style="1" hidden="1" customWidth="1"/>
    <col min="2318" max="2318" width="5.28515625" style="1" customWidth="1"/>
    <col min="2319" max="2321" width="0" style="1" hidden="1" customWidth="1"/>
    <col min="2322" max="2322" width="15" style="1" bestFit="1" customWidth="1"/>
    <col min="2323" max="2323" width="11.7109375" style="1" bestFit="1" customWidth="1"/>
    <col min="2324" max="2326" width="4" style="1" bestFit="1" customWidth="1"/>
    <col min="2327" max="2327" width="3.5703125" style="1" bestFit="1" customWidth="1"/>
    <col min="2328" max="2329" width="0" style="1" hidden="1" customWidth="1"/>
    <col min="2330" max="2330" width="12.85546875" style="1" bestFit="1" customWidth="1"/>
    <col min="2331" max="2331" width="5.140625" style="1" bestFit="1" customWidth="1"/>
    <col min="2332" max="2332" width="8.85546875" style="1" customWidth="1"/>
    <col min="2333" max="2560" width="9.140625" style="1"/>
    <col min="2561" max="2561" width="1.28515625" style="1" customWidth="1"/>
    <col min="2562" max="2562" width="43.42578125" style="1" customWidth="1"/>
    <col min="2563" max="2563" width="17.85546875" style="1" customWidth="1"/>
    <col min="2564" max="2564" width="18.5703125" style="1" customWidth="1"/>
    <col min="2565" max="2565" width="17.140625" style="1" customWidth="1"/>
    <col min="2566" max="2566" width="1" style="1" customWidth="1"/>
    <col min="2567" max="2567" width="11.42578125" style="1" bestFit="1" customWidth="1"/>
    <col min="2568" max="2569" width="0" style="1" hidden="1" customWidth="1"/>
    <col min="2570" max="2570" width="5.28515625" style="1" customWidth="1"/>
    <col min="2571" max="2573" width="0" style="1" hidden="1" customWidth="1"/>
    <col min="2574" max="2574" width="5.28515625" style="1" customWidth="1"/>
    <col min="2575" max="2577" width="0" style="1" hidden="1" customWidth="1"/>
    <col min="2578" max="2578" width="15" style="1" bestFit="1" customWidth="1"/>
    <col min="2579" max="2579" width="11.7109375" style="1" bestFit="1" customWidth="1"/>
    <col min="2580" max="2582" width="4" style="1" bestFit="1" customWidth="1"/>
    <col min="2583" max="2583" width="3.5703125" style="1" bestFit="1" customWidth="1"/>
    <col min="2584" max="2585" width="0" style="1" hidden="1" customWidth="1"/>
    <col min="2586" max="2586" width="12.85546875" style="1" bestFit="1" customWidth="1"/>
    <col min="2587" max="2587" width="5.140625" style="1" bestFit="1" customWidth="1"/>
    <col min="2588" max="2588" width="8.85546875" style="1" customWidth="1"/>
    <col min="2589" max="2816" width="9.140625" style="1"/>
    <col min="2817" max="2817" width="1.28515625" style="1" customWidth="1"/>
    <col min="2818" max="2818" width="43.42578125" style="1" customWidth="1"/>
    <col min="2819" max="2819" width="17.85546875" style="1" customWidth="1"/>
    <col min="2820" max="2820" width="18.5703125" style="1" customWidth="1"/>
    <col min="2821" max="2821" width="17.140625" style="1" customWidth="1"/>
    <col min="2822" max="2822" width="1" style="1" customWidth="1"/>
    <col min="2823" max="2823" width="11.42578125" style="1" bestFit="1" customWidth="1"/>
    <col min="2824" max="2825" width="0" style="1" hidden="1" customWidth="1"/>
    <col min="2826" max="2826" width="5.28515625" style="1" customWidth="1"/>
    <col min="2827" max="2829" width="0" style="1" hidden="1" customWidth="1"/>
    <col min="2830" max="2830" width="5.28515625" style="1" customWidth="1"/>
    <col min="2831" max="2833" width="0" style="1" hidden="1" customWidth="1"/>
    <col min="2834" max="2834" width="15" style="1" bestFit="1" customWidth="1"/>
    <col min="2835" max="2835" width="11.7109375" style="1" bestFit="1" customWidth="1"/>
    <col min="2836" max="2838" width="4" style="1" bestFit="1" customWidth="1"/>
    <col min="2839" max="2839" width="3.5703125" style="1" bestFit="1" customWidth="1"/>
    <col min="2840" max="2841" width="0" style="1" hidden="1" customWidth="1"/>
    <col min="2842" max="2842" width="12.85546875" style="1" bestFit="1" customWidth="1"/>
    <col min="2843" max="2843" width="5.140625" style="1" bestFit="1" customWidth="1"/>
    <col min="2844" max="2844" width="8.85546875" style="1" customWidth="1"/>
    <col min="2845" max="3072" width="9.140625" style="1"/>
    <col min="3073" max="3073" width="1.28515625" style="1" customWidth="1"/>
    <col min="3074" max="3074" width="43.42578125" style="1" customWidth="1"/>
    <col min="3075" max="3075" width="17.85546875" style="1" customWidth="1"/>
    <col min="3076" max="3076" width="18.5703125" style="1" customWidth="1"/>
    <col min="3077" max="3077" width="17.140625" style="1" customWidth="1"/>
    <col min="3078" max="3078" width="1" style="1" customWidth="1"/>
    <col min="3079" max="3079" width="11.42578125" style="1" bestFit="1" customWidth="1"/>
    <col min="3080" max="3081" width="0" style="1" hidden="1" customWidth="1"/>
    <col min="3082" max="3082" width="5.28515625" style="1" customWidth="1"/>
    <col min="3083" max="3085" width="0" style="1" hidden="1" customWidth="1"/>
    <col min="3086" max="3086" width="5.28515625" style="1" customWidth="1"/>
    <col min="3087" max="3089" width="0" style="1" hidden="1" customWidth="1"/>
    <col min="3090" max="3090" width="15" style="1" bestFit="1" customWidth="1"/>
    <col min="3091" max="3091" width="11.7109375" style="1" bestFit="1" customWidth="1"/>
    <col min="3092" max="3094" width="4" style="1" bestFit="1" customWidth="1"/>
    <col min="3095" max="3095" width="3.5703125" style="1" bestFit="1" customWidth="1"/>
    <col min="3096" max="3097" width="0" style="1" hidden="1" customWidth="1"/>
    <col min="3098" max="3098" width="12.85546875" style="1" bestFit="1" customWidth="1"/>
    <col min="3099" max="3099" width="5.140625" style="1" bestFit="1" customWidth="1"/>
    <col min="3100" max="3100" width="8.85546875" style="1" customWidth="1"/>
    <col min="3101" max="3328" width="9.140625" style="1"/>
    <col min="3329" max="3329" width="1.28515625" style="1" customWidth="1"/>
    <col min="3330" max="3330" width="43.42578125" style="1" customWidth="1"/>
    <col min="3331" max="3331" width="17.85546875" style="1" customWidth="1"/>
    <col min="3332" max="3332" width="18.5703125" style="1" customWidth="1"/>
    <col min="3333" max="3333" width="17.140625" style="1" customWidth="1"/>
    <col min="3334" max="3334" width="1" style="1" customWidth="1"/>
    <col min="3335" max="3335" width="11.42578125" style="1" bestFit="1" customWidth="1"/>
    <col min="3336" max="3337" width="0" style="1" hidden="1" customWidth="1"/>
    <col min="3338" max="3338" width="5.28515625" style="1" customWidth="1"/>
    <col min="3339" max="3341" width="0" style="1" hidden="1" customWidth="1"/>
    <col min="3342" max="3342" width="5.28515625" style="1" customWidth="1"/>
    <col min="3343" max="3345" width="0" style="1" hidden="1" customWidth="1"/>
    <col min="3346" max="3346" width="15" style="1" bestFit="1" customWidth="1"/>
    <col min="3347" max="3347" width="11.7109375" style="1" bestFit="1" customWidth="1"/>
    <col min="3348" max="3350" width="4" style="1" bestFit="1" customWidth="1"/>
    <col min="3351" max="3351" width="3.5703125" style="1" bestFit="1" customWidth="1"/>
    <col min="3352" max="3353" width="0" style="1" hidden="1" customWidth="1"/>
    <col min="3354" max="3354" width="12.85546875" style="1" bestFit="1" customWidth="1"/>
    <col min="3355" max="3355" width="5.140625" style="1" bestFit="1" customWidth="1"/>
    <col min="3356" max="3356" width="8.85546875" style="1" customWidth="1"/>
    <col min="3357" max="3584" width="9.140625" style="1"/>
    <col min="3585" max="3585" width="1.28515625" style="1" customWidth="1"/>
    <col min="3586" max="3586" width="43.42578125" style="1" customWidth="1"/>
    <col min="3587" max="3587" width="17.85546875" style="1" customWidth="1"/>
    <col min="3588" max="3588" width="18.5703125" style="1" customWidth="1"/>
    <col min="3589" max="3589" width="17.140625" style="1" customWidth="1"/>
    <col min="3590" max="3590" width="1" style="1" customWidth="1"/>
    <col min="3591" max="3591" width="11.42578125" style="1" bestFit="1" customWidth="1"/>
    <col min="3592" max="3593" width="0" style="1" hidden="1" customWidth="1"/>
    <col min="3594" max="3594" width="5.28515625" style="1" customWidth="1"/>
    <col min="3595" max="3597" width="0" style="1" hidden="1" customWidth="1"/>
    <col min="3598" max="3598" width="5.28515625" style="1" customWidth="1"/>
    <col min="3599" max="3601" width="0" style="1" hidden="1" customWidth="1"/>
    <col min="3602" max="3602" width="15" style="1" bestFit="1" customWidth="1"/>
    <col min="3603" max="3603" width="11.7109375" style="1" bestFit="1" customWidth="1"/>
    <col min="3604" max="3606" width="4" style="1" bestFit="1" customWidth="1"/>
    <col min="3607" max="3607" width="3.5703125" style="1" bestFit="1" customWidth="1"/>
    <col min="3608" max="3609" width="0" style="1" hidden="1" customWidth="1"/>
    <col min="3610" max="3610" width="12.85546875" style="1" bestFit="1" customWidth="1"/>
    <col min="3611" max="3611" width="5.140625" style="1" bestFit="1" customWidth="1"/>
    <col min="3612" max="3612" width="8.85546875" style="1" customWidth="1"/>
    <col min="3613" max="3840" width="9.140625" style="1"/>
    <col min="3841" max="3841" width="1.28515625" style="1" customWidth="1"/>
    <col min="3842" max="3842" width="43.42578125" style="1" customWidth="1"/>
    <col min="3843" max="3843" width="17.85546875" style="1" customWidth="1"/>
    <col min="3844" max="3844" width="18.5703125" style="1" customWidth="1"/>
    <col min="3845" max="3845" width="17.140625" style="1" customWidth="1"/>
    <col min="3846" max="3846" width="1" style="1" customWidth="1"/>
    <col min="3847" max="3847" width="11.42578125" style="1" bestFit="1" customWidth="1"/>
    <col min="3848" max="3849" width="0" style="1" hidden="1" customWidth="1"/>
    <col min="3850" max="3850" width="5.28515625" style="1" customWidth="1"/>
    <col min="3851" max="3853" width="0" style="1" hidden="1" customWidth="1"/>
    <col min="3854" max="3854" width="5.28515625" style="1" customWidth="1"/>
    <col min="3855" max="3857" width="0" style="1" hidden="1" customWidth="1"/>
    <col min="3858" max="3858" width="15" style="1" bestFit="1" customWidth="1"/>
    <col min="3859" max="3859" width="11.7109375" style="1" bestFit="1" customWidth="1"/>
    <col min="3860" max="3862" width="4" style="1" bestFit="1" customWidth="1"/>
    <col min="3863" max="3863" width="3.5703125" style="1" bestFit="1" customWidth="1"/>
    <col min="3864" max="3865" width="0" style="1" hidden="1" customWidth="1"/>
    <col min="3866" max="3866" width="12.85546875" style="1" bestFit="1" customWidth="1"/>
    <col min="3867" max="3867" width="5.140625" style="1" bestFit="1" customWidth="1"/>
    <col min="3868" max="3868" width="8.85546875" style="1" customWidth="1"/>
    <col min="3869" max="4096" width="9.140625" style="1"/>
    <col min="4097" max="4097" width="1.28515625" style="1" customWidth="1"/>
    <col min="4098" max="4098" width="43.42578125" style="1" customWidth="1"/>
    <col min="4099" max="4099" width="17.85546875" style="1" customWidth="1"/>
    <col min="4100" max="4100" width="18.5703125" style="1" customWidth="1"/>
    <col min="4101" max="4101" width="17.140625" style="1" customWidth="1"/>
    <col min="4102" max="4102" width="1" style="1" customWidth="1"/>
    <col min="4103" max="4103" width="11.42578125" style="1" bestFit="1" customWidth="1"/>
    <col min="4104" max="4105" width="0" style="1" hidden="1" customWidth="1"/>
    <col min="4106" max="4106" width="5.28515625" style="1" customWidth="1"/>
    <col min="4107" max="4109" width="0" style="1" hidden="1" customWidth="1"/>
    <col min="4110" max="4110" width="5.28515625" style="1" customWidth="1"/>
    <col min="4111" max="4113" width="0" style="1" hidden="1" customWidth="1"/>
    <col min="4114" max="4114" width="15" style="1" bestFit="1" customWidth="1"/>
    <col min="4115" max="4115" width="11.7109375" style="1" bestFit="1" customWidth="1"/>
    <col min="4116" max="4118" width="4" style="1" bestFit="1" customWidth="1"/>
    <col min="4119" max="4119" width="3.5703125" style="1" bestFit="1" customWidth="1"/>
    <col min="4120" max="4121" width="0" style="1" hidden="1" customWidth="1"/>
    <col min="4122" max="4122" width="12.85546875" style="1" bestFit="1" customWidth="1"/>
    <col min="4123" max="4123" width="5.140625" style="1" bestFit="1" customWidth="1"/>
    <col min="4124" max="4124" width="8.85546875" style="1" customWidth="1"/>
    <col min="4125" max="4352" width="9.140625" style="1"/>
    <col min="4353" max="4353" width="1.28515625" style="1" customWidth="1"/>
    <col min="4354" max="4354" width="43.42578125" style="1" customWidth="1"/>
    <col min="4355" max="4355" width="17.85546875" style="1" customWidth="1"/>
    <col min="4356" max="4356" width="18.5703125" style="1" customWidth="1"/>
    <col min="4357" max="4357" width="17.140625" style="1" customWidth="1"/>
    <col min="4358" max="4358" width="1" style="1" customWidth="1"/>
    <col min="4359" max="4359" width="11.42578125" style="1" bestFit="1" customWidth="1"/>
    <col min="4360" max="4361" width="0" style="1" hidden="1" customWidth="1"/>
    <col min="4362" max="4362" width="5.28515625" style="1" customWidth="1"/>
    <col min="4363" max="4365" width="0" style="1" hidden="1" customWidth="1"/>
    <col min="4366" max="4366" width="5.28515625" style="1" customWidth="1"/>
    <col min="4367" max="4369" width="0" style="1" hidden="1" customWidth="1"/>
    <col min="4370" max="4370" width="15" style="1" bestFit="1" customWidth="1"/>
    <col min="4371" max="4371" width="11.7109375" style="1" bestFit="1" customWidth="1"/>
    <col min="4372" max="4374" width="4" style="1" bestFit="1" customWidth="1"/>
    <col min="4375" max="4375" width="3.5703125" style="1" bestFit="1" customWidth="1"/>
    <col min="4376" max="4377" width="0" style="1" hidden="1" customWidth="1"/>
    <col min="4378" max="4378" width="12.85546875" style="1" bestFit="1" customWidth="1"/>
    <col min="4379" max="4379" width="5.140625" style="1" bestFit="1" customWidth="1"/>
    <col min="4380" max="4380" width="8.85546875" style="1" customWidth="1"/>
    <col min="4381" max="4608" width="9.140625" style="1"/>
    <col min="4609" max="4609" width="1.28515625" style="1" customWidth="1"/>
    <col min="4610" max="4610" width="43.42578125" style="1" customWidth="1"/>
    <col min="4611" max="4611" width="17.85546875" style="1" customWidth="1"/>
    <col min="4612" max="4612" width="18.5703125" style="1" customWidth="1"/>
    <col min="4613" max="4613" width="17.140625" style="1" customWidth="1"/>
    <col min="4614" max="4614" width="1" style="1" customWidth="1"/>
    <col min="4615" max="4615" width="11.42578125" style="1" bestFit="1" customWidth="1"/>
    <col min="4616" max="4617" width="0" style="1" hidden="1" customWidth="1"/>
    <col min="4618" max="4618" width="5.28515625" style="1" customWidth="1"/>
    <col min="4619" max="4621" width="0" style="1" hidden="1" customWidth="1"/>
    <col min="4622" max="4622" width="5.28515625" style="1" customWidth="1"/>
    <col min="4623" max="4625" width="0" style="1" hidden="1" customWidth="1"/>
    <col min="4626" max="4626" width="15" style="1" bestFit="1" customWidth="1"/>
    <col min="4627" max="4627" width="11.7109375" style="1" bestFit="1" customWidth="1"/>
    <col min="4628" max="4630" width="4" style="1" bestFit="1" customWidth="1"/>
    <col min="4631" max="4631" width="3.5703125" style="1" bestFit="1" customWidth="1"/>
    <col min="4632" max="4633" width="0" style="1" hidden="1" customWidth="1"/>
    <col min="4634" max="4634" width="12.85546875" style="1" bestFit="1" customWidth="1"/>
    <col min="4635" max="4635" width="5.140625" style="1" bestFit="1" customWidth="1"/>
    <col min="4636" max="4636" width="8.85546875" style="1" customWidth="1"/>
    <col min="4637" max="4864" width="9.140625" style="1"/>
    <col min="4865" max="4865" width="1.28515625" style="1" customWidth="1"/>
    <col min="4866" max="4866" width="43.42578125" style="1" customWidth="1"/>
    <col min="4867" max="4867" width="17.85546875" style="1" customWidth="1"/>
    <col min="4868" max="4868" width="18.5703125" style="1" customWidth="1"/>
    <col min="4869" max="4869" width="17.140625" style="1" customWidth="1"/>
    <col min="4870" max="4870" width="1" style="1" customWidth="1"/>
    <col min="4871" max="4871" width="11.42578125" style="1" bestFit="1" customWidth="1"/>
    <col min="4872" max="4873" width="0" style="1" hidden="1" customWidth="1"/>
    <col min="4874" max="4874" width="5.28515625" style="1" customWidth="1"/>
    <col min="4875" max="4877" width="0" style="1" hidden="1" customWidth="1"/>
    <col min="4878" max="4878" width="5.28515625" style="1" customWidth="1"/>
    <col min="4879" max="4881" width="0" style="1" hidden="1" customWidth="1"/>
    <col min="4882" max="4882" width="15" style="1" bestFit="1" customWidth="1"/>
    <col min="4883" max="4883" width="11.7109375" style="1" bestFit="1" customWidth="1"/>
    <col min="4884" max="4886" width="4" style="1" bestFit="1" customWidth="1"/>
    <col min="4887" max="4887" width="3.5703125" style="1" bestFit="1" customWidth="1"/>
    <col min="4888" max="4889" width="0" style="1" hidden="1" customWidth="1"/>
    <col min="4890" max="4890" width="12.85546875" style="1" bestFit="1" customWidth="1"/>
    <col min="4891" max="4891" width="5.140625" style="1" bestFit="1" customWidth="1"/>
    <col min="4892" max="4892" width="8.85546875" style="1" customWidth="1"/>
    <col min="4893" max="5120" width="9.140625" style="1"/>
    <col min="5121" max="5121" width="1.28515625" style="1" customWidth="1"/>
    <col min="5122" max="5122" width="43.42578125" style="1" customWidth="1"/>
    <col min="5123" max="5123" width="17.85546875" style="1" customWidth="1"/>
    <col min="5124" max="5124" width="18.5703125" style="1" customWidth="1"/>
    <col min="5125" max="5125" width="17.140625" style="1" customWidth="1"/>
    <col min="5126" max="5126" width="1" style="1" customWidth="1"/>
    <col min="5127" max="5127" width="11.42578125" style="1" bestFit="1" customWidth="1"/>
    <col min="5128" max="5129" width="0" style="1" hidden="1" customWidth="1"/>
    <col min="5130" max="5130" width="5.28515625" style="1" customWidth="1"/>
    <col min="5131" max="5133" width="0" style="1" hidden="1" customWidth="1"/>
    <col min="5134" max="5134" width="5.28515625" style="1" customWidth="1"/>
    <col min="5135" max="5137" width="0" style="1" hidden="1" customWidth="1"/>
    <col min="5138" max="5138" width="15" style="1" bestFit="1" customWidth="1"/>
    <col min="5139" max="5139" width="11.7109375" style="1" bestFit="1" customWidth="1"/>
    <col min="5140" max="5142" width="4" style="1" bestFit="1" customWidth="1"/>
    <col min="5143" max="5143" width="3.5703125" style="1" bestFit="1" customWidth="1"/>
    <col min="5144" max="5145" width="0" style="1" hidden="1" customWidth="1"/>
    <col min="5146" max="5146" width="12.85546875" style="1" bestFit="1" customWidth="1"/>
    <col min="5147" max="5147" width="5.140625" style="1" bestFit="1" customWidth="1"/>
    <col min="5148" max="5148" width="8.85546875" style="1" customWidth="1"/>
    <col min="5149" max="5376" width="9.140625" style="1"/>
    <col min="5377" max="5377" width="1.28515625" style="1" customWidth="1"/>
    <col min="5378" max="5378" width="43.42578125" style="1" customWidth="1"/>
    <col min="5379" max="5379" width="17.85546875" style="1" customWidth="1"/>
    <col min="5380" max="5380" width="18.5703125" style="1" customWidth="1"/>
    <col min="5381" max="5381" width="17.140625" style="1" customWidth="1"/>
    <col min="5382" max="5382" width="1" style="1" customWidth="1"/>
    <col min="5383" max="5383" width="11.42578125" style="1" bestFit="1" customWidth="1"/>
    <col min="5384" max="5385" width="0" style="1" hidden="1" customWidth="1"/>
    <col min="5386" max="5386" width="5.28515625" style="1" customWidth="1"/>
    <col min="5387" max="5389" width="0" style="1" hidden="1" customWidth="1"/>
    <col min="5390" max="5390" width="5.28515625" style="1" customWidth="1"/>
    <col min="5391" max="5393" width="0" style="1" hidden="1" customWidth="1"/>
    <col min="5394" max="5394" width="15" style="1" bestFit="1" customWidth="1"/>
    <col min="5395" max="5395" width="11.7109375" style="1" bestFit="1" customWidth="1"/>
    <col min="5396" max="5398" width="4" style="1" bestFit="1" customWidth="1"/>
    <col min="5399" max="5399" width="3.5703125" style="1" bestFit="1" customWidth="1"/>
    <col min="5400" max="5401" width="0" style="1" hidden="1" customWidth="1"/>
    <col min="5402" max="5402" width="12.85546875" style="1" bestFit="1" customWidth="1"/>
    <col min="5403" max="5403" width="5.140625" style="1" bestFit="1" customWidth="1"/>
    <col min="5404" max="5404" width="8.85546875" style="1" customWidth="1"/>
    <col min="5405" max="5632" width="9.140625" style="1"/>
    <col min="5633" max="5633" width="1.28515625" style="1" customWidth="1"/>
    <col min="5634" max="5634" width="43.42578125" style="1" customWidth="1"/>
    <col min="5635" max="5635" width="17.85546875" style="1" customWidth="1"/>
    <col min="5636" max="5636" width="18.5703125" style="1" customWidth="1"/>
    <col min="5637" max="5637" width="17.140625" style="1" customWidth="1"/>
    <col min="5638" max="5638" width="1" style="1" customWidth="1"/>
    <col min="5639" max="5639" width="11.42578125" style="1" bestFit="1" customWidth="1"/>
    <col min="5640" max="5641" width="0" style="1" hidden="1" customWidth="1"/>
    <col min="5642" max="5642" width="5.28515625" style="1" customWidth="1"/>
    <col min="5643" max="5645" width="0" style="1" hidden="1" customWidth="1"/>
    <col min="5646" max="5646" width="5.28515625" style="1" customWidth="1"/>
    <col min="5647" max="5649" width="0" style="1" hidden="1" customWidth="1"/>
    <col min="5650" max="5650" width="15" style="1" bestFit="1" customWidth="1"/>
    <col min="5651" max="5651" width="11.7109375" style="1" bestFit="1" customWidth="1"/>
    <col min="5652" max="5654" width="4" style="1" bestFit="1" customWidth="1"/>
    <col min="5655" max="5655" width="3.5703125" style="1" bestFit="1" customWidth="1"/>
    <col min="5656" max="5657" width="0" style="1" hidden="1" customWidth="1"/>
    <col min="5658" max="5658" width="12.85546875" style="1" bestFit="1" customWidth="1"/>
    <col min="5659" max="5659" width="5.140625" style="1" bestFit="1" customWidth="1"/>
    <col min="5660" max="5660" width="8.85546875" style="1" customWidth="1"/>
    <col min="5661" max="5888" width="9.140625" style="1"/>
    <col min="5889" max="5889" width="1.28515625" style="1" customWidth="1"/>
    <col min="5890" max="5890" width="43.42578125" style="1" customWidth="1"/>
    <col min="5891" max="5891" width="17.85546875" style="1" customWidth="1"/>
    <col min="5892" max="5892" width="18.5703125" style="1" customWidth="1"/>
    <col min="5893" max="5893" width="17.140625" style="1" customWidth="1"/>
    <col min="5894" max="5894" width="1" style="1" customWidth="1"/>
    <col min="5895" max="5895" width="11.42578125" style="1" bestFit="1" customWidth="1"/>
    <col min="5896" max="5897" width="0" style="1" hidden="1" customWidth="1"/>
    <col min="5898" max="5898" width="5.28515625" style="1" customWidth="1"/>
    <col min="5899" max="5901" width="0" style="1" hidden="1" customWidth="1"/>
    <col min="5902" max="5902" width="5.28515625" style="1" customWidth="1"/>
    <col min="5903" max="5905" width="0" style="1" hidden="1" customWidth="1"/>
    <col min="5906" max="5906" width="15" style="1" bestFit="1" customWidth="1"/>
    <col min="5907" max="5907" width="11.7109375" style="1" bestFit="1" customWidth="1"/>
    <col min="5908" max="5910" width="4" style="1" bestFit="1" customWidth="1"/>
    <col min="5911" max="5911" width="3.5703125" style="1" bestFit="1" customWidth="1"/>
    <col min="5912" max="5913" width="0" style="1" hidden="1" customWidth="1"/>
    <col min="5914" max="5914" width="12.85546875" style="1" bestFit="1" customWidth="1"/>
    <col min="5915" max="5915" width="5.140625" style="1" bestFit="1" customWidth="1"/>
    <col min="5916" max="5916" width="8.85546875" style="1" customWidth="1"/>
    <col min="5917" max="6144" width="9.140625" style="1"/>
    <col min="6145" max="6145" width="1.28515625" style="1" customWidth="1"/>
    <col min="6146" max="6146" width="43.42578125" style="1" customWidth="1"/>
    <col min="6147" max="6147" width="17.85546875" style="1" customWidth="1"/>
    <col min="6148" max="6148" width="18.5703125" style="1" customWidth="1"/>
    <col min="6149" max="6149" width="17.140625" style="1" customWidth="1"/>
    <col min="6150" max="6150" width="1" style="1" customWidth="1"/>
    <col min="6151" max="6151" width="11.42578125" style="1" bestFit="1" customWidth="1"/>
    <col min="6152" max="6153" width="0" style="1" hidden="1" customWidth="1"/>
    <col min="6154" max="6154" width="5.28515625" style="1" customWidth="1"/>
    <col min="6155" max="6157" width="0" style="1" hidden="1" customWidth="1"/>
    <col min="6158" max="6158" width="5.28515625" style="1" customWidth="1"/>
    <col min="6159" max="6161" width="0" style="1" hidden="1" customWidth="1"/>
    <col min="6162" max="6162" width="15" style="1" bestFit="1" customWidth="1"/>
    <col min="6163" max="6163" width="11.7109375" style="1" bestFit="1" customWidth="1"/>
    <col min="6164" max="6166" width="4" style="1" bestFit="1" customWidth="1"/>
    <col min="6167" max="6167" width="3.5703125" style="1" bestFit="1" customWidth="1"/>
    <col min="6168" max="6169" width="0" style="1" hidden="1" customWidth="1"/>
    <col min="6170" max="6170" width="12.85546875" style="1" bestFit="1" customWidth="1"/>
    <col min="6171" max="6171" width="5.140625" style="1" bestFit="1" customWidth="1"/>
    <col min="6172" max="6172" width="8.85546875" style="1" customWidth="1"/>
    <col min="6173" max="6400" width="9.140625" style="1"/>
    <col min="6401" max="6401" width="1.28515625" style="1" customWidth="1"/>
    <col min="6402" max="6402" width="43.42578125" style="1" customWidth="1"/>
    <col min="6403" max="6403" width="17.85546875" style="1" customWidth="1"/>
    <col min="6404" max="6404" width="18.5703125" style="1" customWidth="1"/>
    <col min="6405" max="6405" width="17.140625" style="1" customWidth="1"/>
    <col min="6406" max="6406" width="1" style="1" customWidth="1"/>
    <col min="6407" max="6407" width="11.42578125" style="1" bestFit="1" customWidth="1"/>
    <col min="6408" max="6409" width="0" style="1" hidden="1" customWidth="1"/>
    <col min="6410" max="6410" width="5.28515625" style="1" customWidth="1"/>
    <col min="6411" max="6413" width="0" style="1" hidden="1" customWidth="1"/>
    <col min="6414" max="6414" width="5.28515625" style="1" customWidth="1"/>
    <col min="6415" max="6417" width="0" style="1" hidden="1" customWidth="1"/>
    <col min="6418" max="6418" width="15" style="1" bestFit="1" customWidth="1"/>
    <col min="6419" max="6419" width="11.7109375" style="1" bestFit="1" customWidth="1"/>
    <col min="6420" max="6422" width="4" style="1" bestFit="1" customWidth="1"/>
    <col min="6423" max="6423" width="3.5703125" style="1" bestFit="1" customWidth="1"/>
    <col min="6424" max="6425" width="0" style="1" hidden="1" customWidth="1"/>
    <col min="6426" max="6426" width="12.85546875" style="1" bestFit="1" customWidth="1"/>
    <col min="6427" max="6427" width="5.140625" style="1" bestFit="1" customWidth="1"/>
    <col min="6428" max="6428" width="8.85546875" style="1" customWidth="1"/>
    <col min="6429" max="6656" width="9.140625" style="1"/>
    <col min="6657" max="6657" width="1.28515625" style="1" customWidth="1"/>
    <col min="6658" max="6658" width="43.42578125" style="1" customWidth="1"/>
    <col min="6659" max="6659" width="17.85546875" style="1" customWidth="1"/>
    <col min="6660" max="6660" width="18.5703125" style="1" customWidth="1"/>
    <col min="6661" max="6661" width="17.140625" style="1" customWidth="1"/>
    <col min="6662" max="6662" width="1" style="1" customWidth="1"/>
    <col min="6663" max="6663" width="11.42578125" style="1" bestFit="1" customWidth="1"/>
    <col min="6664" max="6665" width="0" style="1" hidden="1" customWidth="1"/>
    <col min="6666" max="6666" width="5.28515625" style="1" customWidth="1"/>
    <col min="6667" max="6669" width="0" style="1" hidden="1" customWidth="1"/>
    <col min="6670" max="6670" width="5.28515625" style="1" customWidth="1"/>
    <col min="6671" max="6673" width="0" style="1" hidden="1" customWidth="1"/>
    <col min="6674" max="6674" width="15" style="1" bestFit="1" customWidth="1"/>
    <col min="6675" max="6675" width="11.7109375" style="1" bestFit="1" customWidth="1"/>
    <col min="6676" max="6678" width="4" style="1" bestFit="1" customWidth="1"/>
    <col min="6679" max="6679" width="3.5703125" style="1" bestFit="1" customWidth="1"/>
    <col min="6680" max="6681" width="0" style="1" hidden="1" customWidth="1"/>
    <col min="6682" max="6682" width="12.85546875" style="1" bestFit="1" customWidth="1"/>
    <col min="6683" max="6683" width="5.140625" style="1" bestFit="1" customWidth="1"/>
    <col min="6684" max="6684" width="8.85546875" style="1" customWidth="1"/>
    <col min="6685" max="6912" width="9.140625" style="1"/>
    <col min="6913" max="6913" width="1.28515625" style="1" customWidth="1"/>
    <col min="6914" max="6914" width="43.42578125" style="1" customWidth="1"/>
    <col min="6915" max="6915" width="17.85546875" style="1" customWidth="1"/>
    <col min="6916" max="6916" width="18.5703125" style="1" customWidth="1"/>
    <col min="6917" max="6917" width="17.140625" style="1" customWidth="1"/>
    <col min="6918" max="6918" width="1" style="1" customWidth="1"/>
    <col min="6919" max="6919" width="11.42578125" style="1" bestFit="1" customWidth="1"/>
    <col min="6920" max="6921" width="0" style="1" hidden="1" customWidth="1"/>
    <col min="6922" max="6922" width="5.28515625" style="1" customWidth="1"/>
    <col min="6923" max="6925" width="0" style="1" hidden="1" customWidth="1"/>
    <col min="6926" max="6926" width="5.28515625" style="1" customWidth="1"/>
    <col min="6927" max="6929" width="0" style="1" hidden="1" customWidth="1"/>
    <col min="6930" max="6930" width="15" style="1" bestFit="1" customWidth="1"/>
    <col min="6931" max="6931" width="11.7109375" style="1" bestFit="1" customWidth="1"/>
    <col min="6932" max="6934" width="4" style="1" bestFit="1" customWidth="1"/>
    <col min="6935" max="6935" width="3.5703125" style="1" bestFit="1" customWidth="1"/>
    <col min="6936" max="6937" width="0" style="1" hidden="1" customWidth="1"/>
    <col min="6938" max="6938" width="12.85546875" style="1" bestFit="1" customWidth="1"/>
    <col min="6939" max="6939" width="5.140625" style="1" bestFit="1" customWidth="1"/>
    <col min="6940" max="6940" width="8.85546875" style="1" customWidth="1"/>
    <col min="6941" max="7168" width="9.140625" style="1"/>
    <col min="7169" max="7169" width="1.28515625" style="1" customWidth="1"/>
    <col min="7170" max="7170" width="43.42578125" style="1" customWidth="1"/>
    <col min="7171" max="7171" width="17.85546875" style="1" customWidth="1"/>
    <col min="7172" max="7172" width="18.5703125" style="1" customWidth="1"/>
    <col min="7173" max="7173" width="17.140625" style="1" customWidth="1"/>
    <col min="7174" max="7174" width="1" style="1" customWidth="1"/>
    <col min="7175" max="7175" width="11.42578125" style="1" bestFit="1" customWidth="1"/>
    <col min="7176" max="7177" width="0" style="1" hidden="1" customWidth="1"/>
    <col min="7178" max="7178" width="5.28515625" style="1" customWidth="1"/>
    <col min="7179" max="7181" width="0" style="1" hidden="1" customWidth="1"/>
    <col min="7182" max="7182" width="5.28515625" style="1" customWidth="1"/>
    <col min="7183" max="7185" width="0" style="1" hidden="1" customWidth="1"/>
    <col min="7186" max="7186" width="15" style="1" bestFit="1" customWidth="1"/>
    <col min="7187" max="7187" width="11.7109375" style="1" bestFit="1" customWidth="1"/>
    <col min="7188" max="7190" width="4" style="1" bestFit="1" customWidth="1"/>
    <col min="7191" max="7191" width="3.5703125" style="1" bestFit="1" customWidth="1"/>
    <col min="7192" max="7193" width="0" style="1" hidden="1" customWidth="1"/>
    <col min="7194" max="7194" width="12.85546875" style="1" bestFit="1" customWidth="1"/>
    <col min="7195" max="7195" width="5.140625" style="1" bestFit="1" customWidth="1"/>
    <col min="7196" max="7196" width="8.85546875" style="1" customWidth="1"/>
    <col min="7197" max="7424" width="9.140625" style="1"/>
    <col min="7425" max="7425" width="1.28515625" style="1" customWidth="1"/>
    <col min="7426" max="7426" width="43.42578125" style="1" customWidth="1"/>
    <col min="7427" max="7427" width="17.85546875" style="1" customWidth="1"/>
    <col min="7428" max="7428" width="18.5703125" style="1" customWidth="1"/>
    <col min="7429" max="7429" width="17.140625" style="1" customWidth="1"/>
    <col min="7430" max="7430" width="1" style="1" customWidth="1"/>
    <col min="7431" max="7431" width="11.42578125" style="1" bestFit="1" customWidth="1"/>
    <col min="7432" max="7433" width="0" style="1" hidden="1" customWidth="1"/>
    <col min="7434" max="7434" width="5.28515625" style="1" customWidth="1"/>
    <col min="7435" max="7437" width="0" style="1" hidden="1" customWidth="1"/>
    <col min="7438" max="7438" width="5.28515625" style="1" customWidth="1"/>
    <col min="7439" max="7441" width="0" style="1" hidden="1" customWidth="1"/>
    <col min="7442" max="7442" width="15" style="1" bestFit="1" customWidth="1"/>
    <col min="7443" max="7443" width="11.7109375" style="1" bestFit="1" customWidth="1"/>
    <col min="7444" max="7446" width="4" style="1" bestFit="1" customWidth="1"/>
    <col min="7447" max="7447" width="3.5703125" style="1" bestFit="1" customWidth="1"/>
    <col min="7448" max="7449" width="0" style="1" hidden="1" customWidth="1"/>
    <col min="7450" max="7450" width="12.85546875" style="1" bestFit="1" customWidth="1"/>
    <col min="7451" max="7451" width="5.140625" style="1" bestFit="1" customWidth="1"/>
    <col min="7452" max="7452" width="8.85546875" style="1" customWidth="1"/>
    <col min="7453" max="7680" width="9.140625" style="1"/>
    <col min="7681" max="7681" width="1.28515625" style="1" customWidth="1"/>
    <col min="7682" max="7682" width="43.42578125" style="1" customWidth="1"/>
    <col min="7683" max="7683" width="17.85546875" style="1" customWidth="1"/>
    <col min="7684" max="7684" width="18.5703125" style="1" customWidth="1"/>
    <col min="7685" max="7685" width="17.140625" style="1" customWidth="1"/>
    <col min="7686" max="7686" width="1" style="1" customWidth="1"/>
    <col min="7687" max="7687" width="11.42578125" style="1" bestFit="1" customWidth="1"/>
    <col min="7688" max="7689" width="0" style="1" hidden="1" customWidth="1"/>
    <col min="7690" max="7690" width="5.28515625" style="1" customWidth="1"/>
    <col min="7691" max="7693" width="0" style="1" hidden="1" customWidth="1"/>
    <col min="7694" max="7694" width="5.28515625" style="1" customWidth="1"/>
    <col min="7695" max="7697" width="0" style="1" hidden="1" customWidth="1"/>
    <col min="7698" max="7698" width="15" style="1" bestFit="1" customWidth="1"/>
    <col min="7699" max="7699" width="11.7109375" style="1" bestFit="1" customWidth="1"/>
    <col min="7700" max="7702" width="4" style="1" bestFit="1" customWidth="1"/>
    <col min="7703" max="7703" width="3.5703125" style="1" bestFit="1" customWidth="1"/>
    <col min="7704" max="7705" width="0" style="1" hidden="1" customWidth="1"/>
    <col min="7706" max="7706" width="12.85546875" style="1" bestFit="1" customWidth="1"/>
    <col min="7707" max="7707" width="5.140625" style="1" bestFit="1" customWidth="1"/>
    <col min="7708" max="7708" width="8.85546875" style="1" customWidth="1"/>
    <col min="7709" max="7936" width="9.140625" style="1"/>
    <col min="7937" max="7937" width="1.28515625" style="1" customWidth="1"/>
    <col min="7938" max="7938" width="43.42578125" style="1" customWidth="1"/>
    <col min="7939" max="7939" width="17.85546875" style="1" customWidth="1"/>
    <col min="7940" max="7940" width="18.5703125" style="1" customWidth="1"/>
    <col min="7941" max="7941" width="17.140625" style="1" customWidth="1"/>
    <col min="7942" max="7942" width="1" style="1" customWidth="1"/>
    <col min="7943" max="7943" width="11.42578125" style="1" bestFit="1" customWidth="1"/>
    <col min="7944" max="7945" width="0" style="1" hidden="1" customWidth="1"/>
    <col min="7946" max="7946" width="5.28515625" style="1" customWidth="1"/>
    <col min="7947" max="7949" width="0" style="1" hidden="1" customWidth="1"/>
    <col min="7950" max="7950" width="5.28515625" style="1" customWidth="1"/>
    <col min="7951" max="7953" width="0" style="1" hidden="1" customWidth="1"/>
    <col min="7954" max="7954" width="15" style="1" bestFit="1" customWidth="1"/>
    <col min="7955" max="7955" width="11.7109375" style="1" bestFit="1" customWidth="1"/>
    <col min="7956" max="7958" width="4" style="1" bestFit="1" customWidth="1"/>
    <col min="7959" max="7959" width="3.5703125" style="1" bestFit="1" customWidth="1"/>
    <col min="7960" max="7961" width="0" style="1" hidden="1" customWidth="1"/>
    <col min="7962" max="7962" width="12.85546875" style="1" bestFit="1" customWidth="1"/>
    <col min="7963" max="7963" width="5.140625" style="1" bestFit="1" customWidth="1"/>
    <col min="7964" max="7964" width="8.85546875" style="1" customWidth="1"/>
    <col min="7965" max="8192" width="9.140625" style="1"/>
    <col min="8193" max="8193" width="1.28515625" style="1" customWidth="1"/>
    <col min="8194" max="8194" width="43.42578125" style="1" customWidth="1"/>
    <col min="8195" max="8195" width="17.85546875" style="1" customWidth="1"/>
    <col min="8196" max="8196" width="18.5703125" style="1" customWidth="1"/>
    <col min="8197" max="8197" width="17.140625" style="1" customWidth="1"/>
    <col min="8198" max="8198" width="1" style="1" customWidth="1"/>
    <col min="8199" max="8199" width="11.42578125" style="1" bestFit="1" customWidth="1"/>
    <col min="8200" max="8201" width="0" style="1" hidden="1" customWidth="1"/>
    <col min="8202" max="8202" width="5.28515625" style="1" customWidth="1"/>
    <col min="8203" max="8205" width="0" style="1" hidden="1" customWidth="1"/>
    <col min="8206" max="8206" width="5.28515625" style="1" customWidth="1"/>
    <col min="8207" max="8209" width="0" style="1" hidden="1" customWidth="1"/>
    <col min="8210" max="8210" width="15" style="1" bestFit="1" customWidth="1"/>
    <col min="8211" max="8211" width="11.7109375" style="1" bestFit="1" customWidth="1"/>
    <col min="8212" max="8214" width="4" style="1" bestFit="1" customWidth="1"/>
    <col min="8215" max="8215" width="3.5703125" style="1" bestFit="1" customWidth="1"/>
    <col min="8216" max="8217" width="0" style="1" hidden="1" customWidth="1"/>
    <col min="8218" max="8218" width="12.85546875" style="1" bestFit="1" customWidth="1"/>
    <col min="8219" max="8219" width="5.140625" style="1" bestFit="1" customWidth="1"/>
    <col min="8220" max="8220" width="8.85546875" style="1" customWidth="1"/>
    <col min="8221" max="8448" width="9.140625" style="1"/>
    <col min="8449" max="8449" width="1.28515625" style="1" customWidth="1"/>
    <col min="8450" max="8450" width="43.42578125" style="1" customWidth="1"/>
    <col min="8451" max="8451" width="17.85546875" style="1" customWidth="1"/>
    <col min="8452" max="8452" width="18.5703125" style="1" customWidth="1"/>
    <col min="8453" max="8453" width="17.140625" style="1" customWidth="1"/>
    <col min="8454" max="8454" width="1" style="1" customWidth="1"/>
    <col min="8455" max="8455" width="11.42578125" style="1" bestFit="1" customWidth="1"/>
    <col min="8456" max="8457" width="0" style="1" hidden="1" customWidth="1"/>
    <col min="8458" max="8458" width="5.28515625" style="1" customWidth="1"/>
    <col min="8459" max="8461" width="0" style="1" hidden="1" customWidth="1"/>
    <col min="8462" max="8462" width="5.28515625" style="1" customWidth="1"/>
    <col min="8463" max="8465" width="0" style="1" hidden="1" customWidth="1"/>
    <col min="8466" max="8466" width="15" style="1" bestFit="1" customWidth="1"/>
    <col min="8467" max="8467" width="11.7109375" style="1" bestFit="1" customWidth="1"/>
    <col min="8468" max="8470" width="4" style="1" bestFit="1" customWidth="1"/>
    <col min="8471" max="8471" width="3.5703125" style="1" bestFit="1" customWidth="1"/>
    <col min="8472" max="8473" width="0" style="1" hidden="1" customWidth="1"/>
    <col min="8474" max="8474" width="12.85546875" style="1" bestFit="1" customWidth="1"/>
    <col min="8475" max="8475" width="5.140625" style="1" bestFit="1" customWidth="1"/>
    <col min="8476" max="8476" width="8.85546875" style="1" customWidth="1"/>
    <col min="8477" max="8704" width="9.140625" style="1"/>
    <col min="8705" max="8705" width="1.28515625" style="1" customWidth="1"/>
    <col min="8706" max="8706" width="43.42578125" style="1" customWidth="1"/>
    <col min="8707" max="8707" width="17.85546875" style="1" customWidth="1"/>
    <col min="8708" max="8708" width="18.5703125" style="1" customWidth="1"/>
    <col min="8709" max="8709" width="17.140625" style="1" customWidth="1"/>
    <col min="8710" max="8710" width="1" style="1" customWidth="1"/>
    <col min="8711" max="8711" width="11.42578125" style="1" bestFit="1" customWidth="1"/>
    <col min="8712" max="8713" width="0" style="1" hidden="1" customWidth="1"/>
    <col min="8714" max="8714" width="5.28515625" style="1" customWidth="1"/>
    <col min="8715" max="8717" width="0" style="1" hidden="1" customWidth="1"/>
    <col min="8718" max="8718" width="5.28515625" style="1" customWidth="1"/>
    <col min="8719" max="8721" width="0" style="1" hidden="1" customWidth="1"/>
    <col min="8722" max="8722" width="15" style="1" bestFit="1" customWidth="1"/>
    <col min="8723" max="8723" width="11.7109375" style="1" bestFit="1" customWidth="1"/>
    <col min="8724" max="8726" width="4" style="1" bestFit="1" customWidth="1"/>
    <col min="8727" max="8727" width="3.5703125" style="1" bestFit="1" customWidth="1"/>
    <col min="8728" max="8729" width="0" style="1" hidden="1" customWidth="1"/>
    <col min="8730" max="8730" width="12.85546875" style="1" bestFit="1" customWidth="1"/>
    <col min="8731" max="8731" width="5.140625" style="1" bestFit="1" customWidth="1"/>
    <col min="8732" max="8732" width="8.85546875" style="1" customWidth="1"/>
    <col min="8733" max="8960" width="9.140625" style="1"/>
    <col min="8961" max="8961" width="1.28515625" style="1" customWidth="1"/>
    <col min="8962" max="8962" width="43.42578125" style="1" customWidth="1"/>
    <col min="8963" max="8963" width="17.85546875" style="1" customWidth="1"/>
    <col min="8964" max="8964" width="18.5703125" style="1" customWidth="1"/>
    <col min="8965" max="8965" width="17.140625" style="1" customWidth="1"/>
    <col min="8966" max="8966" width="1" style="1" customWidth="1"/>
    <col min="8967" max="8967" width="11.42578125" style="1" bestFit="1" customWidth="1"/>
    <col min="8968" max="8969" width="0" style="1" hidden="1" customWidth="1"/>
    <col min="8970" max="8970" width="5.28515625" style="1" customWidth="1"/>
    <col min="8971" max="8973" width="0" style="1" hidden="1" customWidth="1"/>
    <col min="8974" max="8974" width="5.28515625" style="1" customWidth="1"/>
    <col min="8975" max="8977" width="0" style="1" hidden="1" customWidth="1"/>
    <col min="8978" max="8978" width="15" style="1" bestFit="1" customWidth="1"/>
    <col min="8979" max="8979" width="11.7109375" style="1" bestFit="1" customWidth="1"/>
    <col min="8980" max="8982" width="4" style="1" bestFit="1" customWidth="1"/>
    <col min="8983" max="8983" width="3.5703125" style="1" bestFit="1" customWidth="1"/>
    <col min="8984" max="8985" width="0" style="1" hidden="1" customWidth="1"/>
    <col min="8986" max="8986" width="12.85546875" style="1" bestFit="1" customWidth="1"/>
    <col min="8987" max="8987" width="5.140625" style="1" bestFit="1" customWidth="1"/>
    <col min="8988" max="8988" width="8.85546875" style="1" customWidth="1"/>
    <col min="8989" max="9216" width="9.140625" style="1"/>
    <col min="9217" max="9217" width="1.28515625" style="1" customWidth="1"/>
    <col min="9218" max="9218" width="43.42578125" style="1" customWidth="1"/>
    <col min="9219" max="9219" width="17.85546875" style="1" customWidth="1"/>
    <col min="9220" max="9220" width="18.5703125" style="1" customWidth="1"/>
    <col min="9221" max="9221" width="17.140625" style="1" customWidth="1"/>
    <col min="9222" max="9222" width="1" style="1" customWidth="1"/>
    <col min="9223" max="9223" width="11.42578125" style="1" bestFit="1" customWidth="1"/>
    <col min="9224" max="9225" width="0" style="1" hidden="1" customWidth="1"/>
    <col min="9226" max="9226" width="5.28515625" style="1" customWidth="1"/>
    <col min="9227" max="9229" width="0" style="1" hidden="1" customWidth="1"/>
    <col min="9230" max="9230" width="5.28515625" style="1" customWidth="1"/>
    <col min="9231" max="9233" width="0" style="1" hidden="1" customWidth="1"/>
    <col min="9234" max="9234" width="15" style="1" bestFit="1" customWidth="1"/>
    <col min="9235" max="9235" width="11.7109375" style="1" bestFit="1" customWidth="1"/>
    <col min="9236" max="9238" width="4" style="1" bestFit="1" customWidth="1"/>
    <col min="9239" max="9239" width="3.5703125" style="1" bestFit="1" customWidth="1"/>
    <col min="9240" max="9241" width="0" style="1" hidden="1" customWidth="1"/>
    <col min="9242" max="9242" width="12.85546875" style="1" bestFit="1" customWidth="1"/>
    <col min="9243" max="9243" width="5.140625" style="1" bestFit="1" customWidth="1"/>
    <col min="9244" max="9244" width="8.85546875" style="1" customWidth="1"/>
    <col min="9245" max="9472" width="9.140625" style="1"/>
    <col min="9473" max="9473" width="1.28515625" style="1" customWidth="1"/>
    <col min="9474" max="9474" width="43.42578125" style="1" customWidth="1"/>
    <col min="9475" max="9475" width="17.85546875" style="1" customWidth="1"/>
    <col min="9476" max="9476" width="18.5703125" style="1" customWidth="1"/>
    <col min="9477" max="9477" width="17.140625" style="1" customWidth="1"/>
    <col min="9478" max="9478" width="1" style="1" customWidth="1"/>
    <col min="9479" max="9479" width="11.42578125" style="1" bestFit="1" customWidth="1"/>
    <col min="9480" max="9481" width="0" style="1" hidden="1" customWidth="1"/>
    <col min="9482" max="9482" width="5.28515625" style="1" customWidth="1"/>
    <col min="9483" max="9485" width="0" style="1" hidden="1" customWidth="1"/>
    <col min="9486" max="9486" width="5.28515625" style="1" customWidth="1"/>
    <col min="9487" max="9489" width="0" style="1" hidden="1" customWidth="1"/>
    <col min="9490" max="9490" width="15" style="1" bestFit="1" customWidth="1"/>
    <col min="9491" max="9491" width="11.7109375" style="1" bestFit="1" customWidth="1"/>
    <col min="9492" max="9494" width="4" style="1" bestFit="1" customWidth="1"/>
    <col min="9495" max="9495" width="3.5703125" style="1" bestFit="1" customWidth="1"/>
    <col min="9496" max="9497" width="0" style="1" hidden="1" customWidth="1"/>
    <col min="9498" max="9498" width="12.85546875" style="1" bestFit="1" customWidth="1"/>
    <col min="9499" max="9499" width="5.140625" style="1" bestFit="1" customWidth="1"/>
    <col min="9500" max="9500" width="8.85546875" style="1" customWidth="1"/>
    <col min="9501" max="9728" width="9.140625" style="1"/>
    <col min="9729" max="9729" width="1.28515625" style="1" customWidth="1"/>
    <col min="9730" max="9730" width="43.42578125" style="1" customWidth="1"/>
    <col min="9731" max="9731" width="17.85546875" style="1" customWidth="1"/>
    <col min="9732" max="9732" width="18.5703125" style="1" customWidth="1"/>
    <col min="9733" max="9733" width="17.140625" style="1" customWidth="1"/>
    <col min="9734" max="9734" width="1" style="1" customWidth="1"/>
    <col min="9735" max="9735" width="11.42578125" style="1" bestFit="1" customWidth="1"/>
    <col min="9736" max="9737" width="0" style="1" hidden="1" customWidth="1"/>
    <col min="9738" max="9738" width="5.28515625" style="1" customWidth="1"/>
    <col min="9739" max="9741" width="0" style="1" hidden="1" customWidth="1"/>
    <col min="9742" max="9742" width="5.28515625" style="1" customWidth="1"/>
    <col min="9743" max="9745" width="0" style="1" hidden="1" customWidth="1"/>
    <col min="9746" max="9746" width="15" style="1" bestFit="1" customWidth="1"/>
    <col min="9747" max="9747" width="11.7109375" style="1" bestFit="1" customWidth="1"/>
    <col min="9748" max="9750" width="4" style="1" bestFit="1" customWidth="1"/>
    <col min="9751" max="9751" width="3.5703125" style="1" bestFit="1" customWidth="1"/>
    <col min="9752" max="9753" width="0" style="1" hidden="1" customWidth="1"/>
    <col min="9754" max="9754" width="12.85546875" style="1" bestFit="1" customWidth="1"/>
    <col min="9755" max="9755" width="5.140625" style="1" bestFit="1" customWidth="1"/>
    <col min="9756" max="9756" width="8.85546875" style="1" customWidth="1"/>
    <col min="9757" max="9984" width="9.140625" style="1"/>
    <col min="9985" max="9985" width="1.28515625" style="1" customWidth="1"/>
    <col min="9986" max="9986" width="43.42578125" style="1" customWidth="1"/>
    <col min="9987" max="9987" width="17.85546875" style="1" customWidth="1"/>
    <col min="9988" max="9988" width="18.5703125" style="1" customWidth="1"/>
    <col min="9989" max="9989" width="17.140625" style="1" customWidth="1"/>
    <col min="9990" max="9990" width="1" style="1" customWidth="1"/>
    <col min="9991" max="9991" width="11.42578125" style="1" bestFit="1" customWidth="1"/>
    <col min="9992" max="9993" width="0" style="1" hidden="1" customWidth="1"/>
    <col min="9994" max="9994" width="5.28515625" style="1" customWidth="1"/>
    <col min="9995" max="9997" width="0" style="1" hidden="1" customWidth="1"/>
    <col min="9998" max="9998" width="5.28515625" style="1" customWidth="1"/>
    <col min="9999" max="10001" width="0" style="1" hidden="1" customWidth="1"/>
    <col min="10002" max="10002" width="15" style="1" bestFit="1" customWidth="1"/>
    <col min="10003" max="10003" width="11.7109375" style="1" bestFit="1" customWidth="1"/>
    <col min="10004" max="10006" width="4" style="1" bestFit="1" customWidth="1"/>
    <col min="10007" max="10007" width="3.5703125" style="1" bestFit="1" customWidth="1"/>
    <col min="10008" max="10009" width="0" style="1" hidden="1" customWidth="1"/>
    <col min="10010" max="10010" width="12.85546875" style="1" bestFit="1" customWidth="1"/>
    <col min="10011" max="10011" width="5.140625" style="1" bestFit="1" customWidth="1"/>
    <col min="10012" max="10012" width="8.85546875" style="1" customWidth="1"/>
    <col min="10013" max="10240" width="9.140625" style="1"/>
    <col min="10241" max="10241" width="1.28515625" style="1" customWidth="1"/>
    <col min="10242" max="10242" width="43.42578125" style="1" customWidth="1"/>
    <col min="10243" max="10243" width="17.85546875" style="1" customWidth="1"/>
    <col min="10244" max="10244" width="18.5703125" style="1" customWidth="1"/>
    <col min="10245" max="10245" width="17.140625" style="1" customWidth="1"/>
    <col min="10246" max="10246" width="1" style="1" customWidth="1"/>
    <col min="10247" max="10247" width="11.42578125" style="1" bestFit="1" customWidth="1"/>
    <col min="10248" max="10249" width="0" style="1" hidden="1" customWidth="1"/>
    <col min="10250" max="10250" width="5.28515625" style="1" customWidth="1"/>
    <col min="10251" max="10253" width="0" style="1" hidden="1" customWidth="1"/>
    <col min="10254" max="10254" width="5.28515625" style="1" customWidth="1"/>
    <col min="10255" max="10257" width="0" style="1" hidden="1" customWidth="1"/>
    <col min="10258" max="10258" width="15" style="1" bestFit="1" customWidth="1"/>
    <col min="10259" max="10259" width="11.7109375" style="1" bestFit="1" customWidth="1"/>
    <col min="10260" max="10262" width="4" style="1" bestFit="1" customWidth="1"/>
    <col min="10263" max="10263" width="3.5703125" style="1" bestFit="1" customWidth="1"/>
    <col min="10264" max="10265" width="0" style="1" hidden="1" customWidth="1"/>
    <col min="10266" max="10266" width="12.85546875" style="1" bestFit="1" customWidth="1"/>
    <col min="10267" max="10267" width="5.140625" style="1" bestFit="1" customWidth="1"/>
    <col min="10268" max="10268" width="8.85546875" style="1" customWidth="1"/>
    <col min="10269" max="10496" width="9.140625" style="1"/>
    <col min="10497" max="10497" width="1.28515625" style="1" customWidth="1"/>
    <col min="10498" max="10498" width="43.42578125" style="1" customWidth="1"/>
    <col min="10499" max="10499" width="17.85546875" style="1" customWidth="1"/>
    <col min="10500" max="10500" width="18.5703125" style="1" customWidth="1"/>
    <col min="10501" max="10501" width="17.140625" style="1" customWidth="1"/>
    <col min="10502" max="10502" width="1" style="1" customWidth="1"/>
    <col min="10503" max="10503" width="11.42578125" style="1" bestFit="1" customWidth="1"/>
    <col min="10504" max="10505" width="0" style="1" hidden="1" customWidth="1"/>
    <col min="10506" max="10506" width="5.28515625" style="1" customWidth="1"/>
    <col min="10507" max="10509" width="0" style="1" hidden="1" customWidth="1"/>
    <col min="10510" max="10510" width="5.28515625" style="1" customWidth="1"/>
    <col min="10511" max="10513" width="0" style="1" hidden="1" customWidth="1"/>
    <col min="10514" max="10514" width="15" style="1" bestFit="1" customWidth="1"/>
    <col min="10515" max="10515" width="11.7109375" style="1" bestFit="1" customWidth="1"/>
    <col min="10516" max="10518" width="4" style="1" bestFit="1" customWidth="1"/>
    <col min="10519" max="10519" width="3.5703125" style="1" bestFit="1" customWidth="1"/>
    <col min="10520" max="10521" width="0" style="1" hidden="1" customWidth="1"/>
    <col min="10522" max="10522" width="12.85546875" style="1" bestFit="1" customWidth="1"/>
    <col min="10523" max="10523" width="5.140625" style="1" bestFit="1" customWidth="1"/>
    <col min="10524" max="10524" width="8.85546875" style="1" customWidth="1"/>
    <col min="10525" max="10752" width="9.140625" style="1"/>
    <col min="10753" max="10753" width="1.28515625" style="1" customWidth="1"/>
    <col min="10754" max="10754" width="43.42578125" style="1" customWidth="1"/>
    <col min="10755" max="10755" width="17.85546875" style="1" customWidth="1"/>
    <col min="10756" max="10756" width="18.5703125" style="1" customWidth="1"/>
    <col min="10757" max="10757" width="17.140625" style="1" customWidth="1"/>
    <col min="10758" max="10758" width="1" style="1" customWidth="1"/>
    <col min="10759" max="10759" width="11.42578125" style="1" bestFit="1" customWidth="1"/>
    <col min="10760" max="10761" width="0" style="1" hidden="1" customWidth="1"/>
    <col min="10762" max="10762" width="5.28515625" style="1" customWidth="1"/>
    <col min="10763" max="10765" width="0" style="1" hidden="1" customWidth="1"/>
    <col min="10766" max="10766" width="5.28515625" style="1" customWidth="1"/>
    <col min="10767" max="10769" width="0" style="1" hidden="1" customWidth="1"/>
    <col min="10770" max="10770" width="15" style="1" bestFit="1" customWidth="1"/>
    <col min="10771" max="10771" width="11.7109375" style="1" bestFit="1" customWidth="1"/>
    <col min="10772" max="10774" width="4" style="1" bestFit="1" customWidth="1"/>
    <col min="10775" max="10775" width="3.5703125" style="1" bestFit="1" customWidth="1"/>
    <col min="10776" max="10777" width="0" style="1" hidden="1" customWidth="1"/>
    <col min="10778" max="10778" width="12.85546875" style="1" bestFit="1" customWidth="1"/>
    <col min="10779" max="10779" width="5.140625" style="1" bestFit="1" customWidth="1"/>
    <col min="10780" max="10780" width="8.85546875" style="1" customWidth="1"/>
    <col min="10781" max="11008" width="9.140625" style="1"/>
    <col min="11009" max="11009" width="1.28515625" style="1" customWidth="1"/>
    <col min="11010" max="11010" width="43.42578125" style="1" customWidth="1"/>
    <col min="11011" max="11011" width="17.85546875" style="1" customWidth="1"/>
    <col min="11012" max="11012" width="18.5703125" style="1" customWidth="1"/>
    <col min="11013" max="11013" width="17.140625" style="1" customWidth="1"/>
    <col min="11014" max="11014" width="1" style="1" customWidth="1"/>
    <col min="11015" max="11015" width="11.42578125" style="1" bestFit="1" customWidth="1"/>
    <col min="11016" max="11017" width="0" style="1" hidden="1" customWidth="1"/>
    <col min="11018" max="11018" width="5.28515625" style="1" customWidth="1"/>
    <col min="11019" max="11021" width="0" style="1" hidden="1" customWidth="1"/>
    <col min="11022" max="11022" width="5.28515625" style="1" customWidth="1"/>
    <col min="11023" max="11025" width="0" style="1" hidden="1" customWidth="1"/>
    <col min="11026" max="11026" width="15" style="1" bestFit="1" customWidth="1"/>
    <col min="11027" max="11027" width="11.7109375" style="1" bestFit="1" customWidth="1"/>
    <col min="11028" max="11030" width="4" style="1" bestFit="1" customWidth="1"/>
    <col min="11031" max="11031" width="3.5703125" style="1" bestFit="1" customWidth="1"/>
    <col min="11032" max="11033" width="0" style="1" hidden="1" customWidth="1"/>
    <col min="11034" max="11034" width="12.85546875" style="1" bestFit="1" customWidth="1"/>
    <col min="11035" max="11035" width="5.140625" style="1" bestFit="1" customWidth="1"/>
    <col min="11036" max="11036" width="8.85546875" style="1" customWidth="1"/>
    <col min="11037" max="11264" width="9.140625" style="1"/>
    <col min="11265" max="11265" width="1.28515625" style="1" customWidth="1"/>
    <col min="11266" max="11266" width="43.42578125" style="1" customWidth="1"/>
    <col min="11267" max="11267" width="17.85546875" style="1" customWidth="1"/>
    <col min="11268" max="11268" width="18.5703125" style="1" customWidth="1"/>
    <col min="11269" max="11269" width="17.140625" style="1" customWidth="1"/>
    <col min="11270" max="11270" width="1" style="1" customWidth="1"/>
    <col min="11271" max="11271" width="11.42578125" style="1" bestFit="1" customWidth="1"/>
    <col min="11272" max="11273" width="0" style="1" hidden="1" customWidth="1"/>
    <col min="11274" max="11274" width="5.28515625" style="1" customWidth="1"/>
    <col min="11275" max="11277" width="0" style="1" hidden="1" customWidth="1"/>
    <col min="11278" max="11278" width="5.28515625" style="1" customWidth="1"/>
    <col min="11279" max="11281" width="0" style="1" hidden="1" customWidth="1"/>
    <col min="11282" max="11282" width="15" style="1" bestFit="1" customWidth="1"/>
    <col min="11283" max="11283" width="11.7109375" style="1" bestFit="1" customWidth="1"/>
    <col min="11284" max="11286" width="4" style="1" bestFit="1" customWidth="1"/>
    <col min="11287" max="11287" width="3.5703125" style="1" bestFit="1" customWidth="1"/>
    <col min="11288" max="11289" width="0" style="1" hidden="1" customWidth="1"/>
    <col min="11290" max="11290" width="12.85546875" style="1" bestFit="1" customWidth="1"/>
    <col min="11291" max="11291" width="5.140625" style="1" bestFit="1" customWidth="1"/>
    <col min="11292" max="11292" width="8.85546875" style="1" customWidth="1"/>
    <col min="11293" max="11520" width="9.140625" style="1"/>
    <col min="11521" max="11521" width="1.28515625" style="1" customWidth="1"/>
    <col min="11522" max="11522" width="43.42578125" style="1" customWidth="1"/>
    <col min="11523" max="11523" width="17.85546875" style="1" customWidth="1"/>
    <col min="11524" max="11524" width="18.5703125" style="1" customWidth="1"/>
    <col min="11525" max="11525" width="17.140625" style="1" customWidth="1"/>
    <col min="11526" max="11526" width="1" style="1" customWidth="1"/>
    <col min="11527" max="11527" width="11.42578125" style="1" bestFit="1" customWidth="1"/>
    <col min="11528" max="11529" width="0" style="1" hidden="1" customWidth="1"/>
    <col min="11530" max="11530" width="5.28515625" style="1" customWidth="1"/>
    <col min="11531" max="11533" width="0" style="1" hidden="1" customWidth="1"/>
    <col min="11534" max="11534" width="5.28515625" style="1" customWidth="1"/>
    <col min="11535" max="11537" width="0" style="1" hidden="1" customWidth="1"/>
    <col min="11538" max="11538" width="15" style="1" bestFit="1" customWidth="1"/>
    <col min="11539" max="11539" width="11.7109375" style="1" bestFit="1" customWidth="1"/>
    <col min="11540" max="11542" width="4" style="1" bestFit="1" customWidth="1"/>
    <col min="11543" max="11543" width="3.5703125" style="1" bestFit="1" customWidth="1"/>
    <col min="11544" max="11545" width="0" style="1" hidden="1" customWidth="1"/>
    <col min="11546" max="11546" width="12.85546875" style="1" bestFit="1" customWidth="1"/>
    <col min="11547" max="11547" width="5.140625" style="1" bestFit="1" customWidth="1"/>
    <col min="11548" max="11548" width="8.85546875" style="1" customWidth="1"/>
    <col min="11549" max="11776" width="9.140625" style="1"/>
    <col min="11777" max="11777" width="1.28515625" style="1" customWidth="1"/>
    <col min="11778" max="11778" width="43.42578125" style="1" customWidth="1"/>
    <col min="11779" max="11779" width="17.85546875" style="1" customWidth="1"/>
    <col min="11780" max="11780" width="18.5703125" style="1" customWidth="1"/>
    <col min="11781" max="11781" width="17.140625" style="1" customWidth="1"/>
    <col min="11782" max="11782" width="1" style="1" customWidth="1"/>
    <col min="11783" max="11783" width="11.42578125" style="1" bestFit="1" customWidth="1"/>
    <col min="11784" max="11785" width="0" style="1" hidden="1" customWidth="1"/>
    <col min="11786" max="11786" width="5.28515625" style="1" customWidth="1"/>
    <col min="11787" max="11789" width="0" style="1" hidden="1" customWidth="1"/>
    <col min="11790" max="11790" width="5.28515625" style="1" customWidth="1"/>
    <col min="11791" max="11793" width="0" style="1" hidden="1" customWidth="1"/>
    <col min="11794" max="11794" width="15" style="1" bestFit="1" customWidth="1"/>
    <col min="11795" max="11795" width="11.7109375" style="1" bestFit="1" customWidth="1"/>
    <col min="11796" max="11798" width="4" style="1" bestFit="1" customWidth="1"/>
    <col min="11799" max="11799" width="3.5703125" style="1" bestFit="1" customWidth="1"/>
    <col min="11800" max="11801" width="0" style="1" hidden="1" customWidth="1"/>
    <col min="11802" max="11802" width="12.85546875" style="1" bestFit="1" customWidth="1"/>
    <col min="11803" max="11803" width="5.140625" style="1" bestFit="1" customWidth="1"/>
    <col min="11804" max="11804" width="8.85546875" style="1" customWidth="1"/>
    <col min="11805" max="12032" width="9.140625" style="1"/>
    <col min="12033" max="12033" width="1.28515625" style="1" customWidth="1"/>
    <col min="12034" max="12034" width="43.42578125" style="1" customWidth="1"/>
    <col min="12035" max="12035" width="17.85546875" style="1" customWidth="1"/>
    <col min="12036" max="12036" width="18.5703125" style="1" customWidth="1"/>
    <col min="12037" max="12037" width="17.140625" style="1" customWidth="1"/>
    <col min="12038" max="12038" width="1" style="1" customWidth="1"/>
    <col min="12039" max="12039" width="11.42578125" style="1" bestFit="1" customWidth="1"/>
    <col min="12040" max="12041" width="0" style="1" hidden="1" customWidth="1"/>
    <col min="12042" max="12042" width="5.28515625" style="1" customWidth="1"/>
    <col min="12043" max="12045" width="0" style="1" hidden="1" customWidth="1"/>
    <col min="12046" max="12046" width="5.28515625" style="1" customWidth="1"/>
    <col min="12047" max="12049" width="0" style="1" hidden="1" customWidth="1"/>
    <col min="12050" max="12050" width="15" style="1" bestFit="1" customWidth="1"/>
    <col min="12051" max="12051" width="11.7109375" style="1" bestFit="1" customWidth="1"/>
    <col min="12052" max="12054" width="4" style="1" bestFit="1" customWidth="1"/>
    <col min="12055" max="12055" width="3.5703125" style="1" bestFit="1" customWidth="1"/>
    <col min="12056" max="12057" width="0" style="1" hidden="1" customWidth="1"/>
    <col min="12058" max="12058" width="12.85546875" style="1" bestFit="1" customWidth="1"/>
    <col min="12059" max="12059" width="5.140625" style="1" bestFit="1" customWidth="1"/>
    <col min="12060" max="12060" width="8.85546875" style="1" customWidth="1"/>
    <col min="12061" max="12288" width="9.140625" style="1"/>
    <col min="12289" max="12289" width="1.28515625" style="1" customWidth="1"/>
    <col min="12290" max="12290" width="43.42578125" style="1" customWidth="1"/>
    <col min="12291" max="12291" width="17.85546875" style="1" customWidth="1"/>
    <col min="12292" max="12292" width="18.5703125" style="1" customWidth="1"/>
    <col min="12293" max="12293" width="17.140625" style="1" customWidth="1"/>
    <col min="12294" max="12294" width="1" style="1" customWidth="1"/>
    <col min="12295" max="12295" width="11.42578125" style="1" bestFit="1" customWidth="1"/>
    <col min="12296" max="12297" width="0" style="1" hidden="1" customWidth="1"/>
    <col min="12298" max="12298" width="5.28515625" style="1" customWidth="1"/>
    <col min="12299" max="12301" width="0" style="1" hidden="1" customWidth="1"/>
    <col min="12302" max="12302" width="5.28515625" style="1" customWidth="1"/>
    <col min="12303" max="12305" width="0" style="1" hidden="1" customWidth="1"/>
    <col min="12306" max="12306" width="15" style="1" bestFit="1" customWidth="1"/>
    <col min="12307" max="12307" width="11.7109375" style="1" bestFit="1" customWidth="1"/>
    <col min="12308" max="12310" width="4" style="1" bestFit="1" customWidth="1"/>
    <col min="12311" max="12311" width="3.5703125" style="1" bestFit="1" customWidth="1"/>
    <col min="12312" max="12313" width="0" style="1" hidden="1" customWidth="1"/>
    <col min="12314" max="12314" width="12.85546875" style="1" bestFit="1" customWidth="1"/>
    <col min="12315" max="12315" width="5.140625" style="1" bestFit="1" customWidth="1"/>
    <col min="12316" max="12316" width="8.85546875" style="1" customWidth="1"/>
    <col min="12317" max="12544" width="9.140625" style="1"/>
    <col min="12545" max="12545" width="1.28515625" style="1" customWidth="1"/>
    <col min="12546" max="12546" width="43.42578125" style="1" customWidth="1"/>
    <col min="12547" max="12547" width="17.85546875" style="1" customWidth="1"/>
    <col min="12548" max="12548" width="18.5703125" style="1" customWidth="1"/>
    <col min="12549" max="12549" width="17.140625" style="1" customWidth="1"/>
    <col min="12550" max="12550" width="1" style="1" customWidth="1"/>
    <col min="12551" max="12551" width="11.42578125" style="1" bestFit="1" customWidth="1"/>
    <col min="12552" max="12553" width="0" style="1" hidden="1" customWidth="1"/>
    <col min="12554" max="12554" width="5.28515625" style="1" customWidth="1"/>
    <col min="12555" max="12557" width="0" style="1" hidden="1" customWidth="1"/>
    <col min="12558" max="12558" width="5.28515625" style="1" customWidth="1"/>
    <col min="12559" max="12561" width="0" style="1" hidden="1" customWidth="1"/>
    <col min="12562" max="12562" width="15" style="1" bestFit="1" customWidth="1"/>
    <col min="12563" max="12563" width="11.7109375" style="1" bestFit="1" customWidth="1"/>
    <col min="12564" max="12566" width="4" style="1" bestFit="1" customWidth="1"/>
    <col min="12567" max="12567" width="3.5703125" style="1" bestFit="1" customWidth="1"/>
    <col min="12568" max="12569" width="0" style="1" hidden="1" customWidth="1"/>
    <col min="12570" max="12570" width="12.85546875" style="1" bestFit="1" customWidth="1"/>
    <col min="12571" max="12571" width="5.140625" style="1" bestFit="1" customWidth="1"/>
    <col min="12572" max="12572" width="8.85546875" style="1" customWidth="1"/>
    <col min="12573" max="12800" width="9.140625" style="1"/>
    <col min="12801" max="12801" width="1.28515625" style="1" customWidth="1"/>
    <col min="12802" max="12802" width="43.42578125" style="1" customWidth="1"/>
    <col min="12803" max="12803" width="17.85546875" style="1" customWidth="1"/>
    <col min="12804" max="12804" width="18.5703125" style="1" customWidth="1"/>
    <col min="12805" max="12805" width="17.140625" style="1" customWidth="1"/>
    <col min="12806" max="12806" width="1" style="1" customWidth="1"/>
    <col min="12807" max="12807" width="11.42578125" style="1" bestFit="1" customWidth="1"/>
    <col min="12808" max="12809" width="0" style="1" hidden="1" customWidth="1"/>
    <col min="12810" max="12810" width="5.28515625" style="1" customWidth="1"/>
    <col min="12811" max="12813" width="0" style="1" hidden="1" customWidth="1"/>
    <col min="12814" max="12814" width="5.28515625" style="1" customWidth="1"/>
    <col min="12815" max="12817" width="0" style="1" hidden="1" customWidth="1"/>
    <col min="12818" max="12818" width="15" style="1" bestFit="1" customWidth="1"/>
    <col min="12819" max="12819" width="11.7109375" style="1" bestFit="1" customWidth="1"/>
    <col min="12820" max="12822" width="4" style="1" bestFit="1" customWidth="1"/>
    <col min="12823" max="12823" width="3.5703125" style="1" bestFit="1" customWidth="1"/>
    <col min="12824" max="12825" width="0" style="1" hidden="1" customWidth="1"/>
    <col min="12826" max="12826" width="12.85546875" style="1" bestFit="1" customWidth="1"/>
    <col min="12827" max="12827" width="5.140625" style="1" bestFit="1" customWidth="1"/>
    <col min="12828" max="12828" width="8.85546875" style="1" customWidth="1"/>
    <col min="12829" max="13056" width="9.140625" style="1"/>
    <col min="13057" max="13057" width="1.28515625" style="1" customWidth="1"/>
    <col min="13058" max="13058" width="43.42578125" style="1" customWidth="1"/>
    <col min="13059" max="13059" width="17.85546875" style="1" customWidth="1"/>
    <col min="13060" max="13060" width="18.5703125" style="1" customWidth="1"/>
    <col min="13061" max="13061" width="17.140625" style="1" customWidth="1"/>
    <col min="13062" max="13062" width="1" style="1" customWidth="1"/>
    <col min="13063" max="13063" width="11.42578125" style="1" bestFit="1" customWidth="1"/>
    <col min="13064" max="13065" width="0" style="1" hidden="1" customWidth="1"/>
    <col min="13066" max="13066" width="5.28515625" style="1" customWidth="1"/>
    <col min="13067" max="13069" width="0" style="1" hidden="1" customWidth="1"/>
    <col min="13070" max="13070" width="5.28515625" style="1" customWidth="1"/>
    <col min="13071" max="13073" width="0" style="1" hidden="1" customWidth="1"/>
    <col min="13074" max="13074" width="15" style="1" bestFit="1" customWidth="1"/>
    <col min="13075" max="13075" width="11.7109375" style="1" bestFit="1" customWidth="1"/>
    <col min="13076" max="13078" width="4" style="1" bestFit="1" customWidth="1"/>
    <col min="13079" max="13079" width="3.5703125" style="1" bestFit="1" customWidth="1"/>
    <col min="13080" max="13081" width="0" style="1" hidden="1" customWidth="1"/>
    <col min="13082" max="13082" width="12.85546875" style="1" bestFit="1" customWidth="1"/>
    <col min="13083" max="13083" width="5.140625" style="1" bestFit="1" customWidth="1"/>
    <col min="13084" max="13084" width="8.85546875" style="1" customWidth="1"/>
    <col min="13085" max="13312" width="9.140625" style="1"/>
    <col min="13313" max="13313" width="1.28515625" style="1" customWidth="1"/>
    <col min="13314" max="13314" width="43.42578125" style="1" customWidth="1"/>
    <col min="13315" max="13315" width="17.85546875" style="1" customWidth="1"/>
    <col min="13316" max="13316" width="18.5703125" style="1" customWidth="1"/>
    <col min="13317" max="13317" width="17.140625" style="1" customWidth="1"/>
    <col min="13318" max="13318" width="1" style="1" customWidth="1"/>
    <col min="13319" max="13319" width="11.42578125" style="1" bestFit="1" customWidth="1"/>
    <col min="13320" max="13321" width="0" style="1" hidden="1" customWidth="1"/>
    <col min="13322" max="13322" width="5.28515625" style="1" customWidth="1"/>
    <col min="13323" max="13325" width="0" style="1" hidden="1" customWidth="1"/>
    <col min="13326" max="13326" width="5.28515625" style="1" customWidth="1"/>
    <col min="13327" max="13329" width="0" style="1" hidden="1" customWidth="1"/>
    <col min="13330" max="13330" width="15" style="1" bestFit="1" customWidth="1"/>
    <col min="13331" max="13331" width="11.7109375" style="1" bestFit="1" customWidth="1"/>
    <col min="13332" max="13334" width="4" style="1" bestFit="1" customWidth="1"/>
    <col min="13335" max="13335" width="3.5703125" style="1" bestFit="1" customWidth="1"/>
    <col min="13336" max="13337" width="0" style="1" hidden="1" customWidth="1"/>
    <col min="13338" max="13338" width="12.85546875" style="1" bestFit="1" customWidth="1"/>
    <col min="13339" max="13339" width="5.140625" style="1" bestFit="1" customWidth="1"/>
    <col min="13340" max="13340" width="8.85546875" style="1" customWidth="1"/>
    <col min="13341" max="13568" width="9.140625" style="1"/>
    <col min="13569" max="13569" width="1.28515625" style="1" customWidth="1"/>
    <col min="13570" max="13570" width="43.42578125" style="1" customWidth="1"/>
    <col min="13571" max="13571" width="17.85546875" style="1" customWidth="1"/>
    <col min="13572" max="13572" width="18.5703125" style="1" customWidth="1"/>
    <col min="13573" max="13573" width="17.140625" style="1" customWidth="1"/>
    <col min="13574" max="13574" width="1" style="1" customWidth="1"/>
    <col min="13575" max="13575" width="11.42578125" style="1" bestFit="1" customWidth="1"/>
    <col min="13576" max="13577" width="0" style="1" hidden="1" customWidth="1"/>
    <col min="13578" max="13578" width="5.28515625" style="1" customWidth="1"/>
    <col min="13579" max="13581" width="0" style="1" hidden="1" customWidth="1"/>
    <col min="13582" max="13582" width="5.28515625" style="1" customWidth="1"/>
    <col min="13583" max="13585" width="0" style="1" hidden="1" customWidth="1"/>
    <col min="13586" max="13586" width="15" style="1" bestFit="1" customWidth="1"/>
    <col min="13587" max="13587" width="11.7109375" style="1" bestFit="1" customWidth="1"/>
    <col min="13588" max="13590" width="4" style="1" bestFit="1" customWidth="1"/>
    <col min="13591" max="13591" width="3.5703125" style="1" bestFit="1" customWidth="1"/>
    <col min="13592" max="13593" width="0" style="1" hidden="1" customWidth="1"/>
    <col min="13594" max="13594" width="12.85546875" style="1" bestFit="1" customWidth="1"/>
    <col min="13595" max="13595" width="5.140625" style="1" bestFit="1" customWidth="1"/>
    <col min="13596" max="13596" width="8.85546875" style="1" customWidth="1"/>
    <col min="13597" max="13824" width="9.140625" style="1"/>
    <col min="13825" max="13825" width="1.28515625" style="1" customWidth="1"/>
    <col min="13826" max="13826" width="43.42578125" style="1" customWidth="1"/>
    <col min="13827" max="13827" width="17.85546875" style="1" customWidth="1"/>
    <col min="13828" max="13828" width="18.5703125" style="1" customWidth="1"/>
    <col min="13829" max="13829" width="17.140625" style="1" customWidth="1"/>
    <col min="13830" max="13830" width="1" style="1" customWidth="1"/>
    <col min="13831" max="13831" width="11.42578125" style="1" bestFit="1" customWidth="1"/>
    <col min="13832" max="13833" width="0" style="1" hidden="1" customWidth="1"/>
    <col min="13834" max="13834" width="5.28515625" style="1" customWidth="1"/>
    <col min="13835" max="13837" width="0" style="1" hidden="1" customWidth="1"/>
    <col min="13838" max="13838" width="5.28515625" style="1" customWidth="1"/>
    <col min="13839" max="13841" width="0" style="1" hidden="1" customWidth="1"/>
    <col min="13842" max="13842" width="15" style="1" bestFit="1" customWidth="1"/>
    <col min="13843" max="13843" width="11.7109375" style="1" bestFit="1" customWidth="1"/>
    <col min="13844" max="13846" width="4" style="1" bestFit="1" customWidth="1"/>
    <col min="13847" max="13847" width="3.5703125" style="1" bestFit="1" customWidth="1"/>
    <col min="13848" max="13849" width="0" style="1" hidden="1" customWidth="1"/>
    <col min="13850" max="13850" width="12.85546875" style="1" bestFit="1" customWidth="1"/>
    <col min="13851" max="13851" width="5.140625" style="1" bestFit="1" customWidth="1"/>
    <col min="13852" max="13852" width="8.85546875" style="1" customWidth="1"/>
    <col min="13853" max="14080" width="9.140625" style="1"/>
    <col min="14081" max="14081" width="1.28515625" style="1" customWidth="1"/>
    <col min="14082" max="14082" width="43.42578125" style="1" customWidth="1"/>
    <col min="14083" max="14083" width="17.85546875" style="1" customWidth="1"/>
    <col min="14084" max="14084" width="18.5703125" style="1" customWidth="1"/>
    <col min="14085" max="14085" width="17.140625" style="1" customWidth="1"/>
    <col min="14086" max="14086" width="1" style="1" customWidth="1"/>
    <col min="14087" max="14087" width="11.42578125" style="1" bestFit="1" customWidth="1"/>
    <col min="14088" max="14089" width="0" style="1" hidden="1" customWidth="1"/>
    <col min="14090" max="14090" width="5.28515625" style="1" customWidth="1"/>
    <col min="14091" max="14093" width="0" style="1" hidden="1" customWidth="1"/>
    <col min="14094" max="14094" width="5.28515625" style="1" customWidth="1"/>
    <col min="14095" max="14097" width="0" style="1" hidden="1" customWidth="1"/>
    <col min="14098" max="14098" width="15" style="1" bestFit="1" customWidth="1"/>
    <col min="14099" max="14099" width="11.7109375" style="1" bestFit="1" customWidth="1"/>
    <col min="14100" max="14102" width="4" style="1" bestFit="1" customWidth="1"/>
    <col min="14103" max="14103" width="3.5703125" style="1" bestFit="1" customWidth="1"/>
    <col min="14104" max="14105" width="0" style="1" hidden="1" customWidth="1"/>
    <col min="14106" max="14106" width="12.85546875" style="1" bestFit="1" customWidth="1"/>
    <col min="14107" max="14107" width="5.140625" style="1" bestFit="1" customWidth="1"/>
    <col min="14108" max="14108" width="8.85546875" style="1" customWidth="1"/>
    <col min="14109" max="14336" width="9.140625" style="1"/>
    <col min="14337" max="14337" width="1.28515625" style="1" customWidth="1"/>
    <col min="14338" max="14338" width="43.42578125" style="1" customWidth="1"/>
    <col min="14339" max="14339" width="17.85546875" style="1" customWidth="1"/>
    <col min="14340" max="14340" width="18.5703125" style="1" customWidth="1"/>
    <col min="14341" max="14341" width="17.140625" style="1" customWidth="1"/>
    <col min="14342" max="14342" width="1" style="1" customWidth="1"/>
    <col min="14343" max="14343" width="11.42578125" style="1" bestFit="1" customWidth="1"/>
    <col min="14344" max="14345" width="0" style="1" hidden="1" customWidth="1"/>
    <col min="14346" max="14346" width="5.28515625" style="1" customWidth="1"/>
    <col min="14347" max="14349" width="0" style="1" hidden="1" customWidth="1"/>
    <col min="14350" max="14350" width="5.28515625" style="1" customWidth="1"/>
    <col min="14351" max="14353" width="0" style="1" hidden="1" customWidth="1"/>
    <col min="14354" max="14354" width="15" style="1" bestFit="1" customWidth="1"/>
    <col min="14355" max="14355" width="11.7109375" style="1" bestFit="1" customWidth="1"/>
    <col min="14356" max="14358" width="4" style="1" bestFit="1" customWidth="1"/>
    <col min="14359" max="14359" width="3.5703125" style="1" bestFit="1" customWidth="1"/>
    <col min="14360" max="14361" width="0" style="1" hidden="1" customWidth="1"/>
    <col min="14362" max="14362" width="12.85546875" style="1" bestFit="1" customWidth="1"/>
    <col min="14363" max="14363" width="5.140625" style="1" bestFit="1" customWidth="1"/>
    <col min="14364" max="14364" width="8.85546875" style="1" customWidth="1"/>
    <col min="14365" max="14592" width="9.140625" style="1"/>
    <col min="14593" max="14593" width="1.28515625" style="1" customWidth="1"/>
    <col min="14594" max="14594" width="43.42578125" style="1" customWidth="1"/>
    <col min="14595" max="14595" width="17.85546875" style="1" customWidth="1"/>
    <col min="14596" max="14596" width="18.5703125" style="1" customWidth="1"/>
    <col min="14597" max="14597" width="17.140625" style="1" customWidth="1"/>
    <col min="14598" max="14598" width="1" style="1" customWidth="1"/>
    <col min="14599" max="14599" width="11.42578125" style="1" bestFit="1" customWidth="1"/>
    <col min="14600" max="14601" width="0" style="1" hidden="1" customWidth="1"/>
    <col min="14602" max="14602" width="5.28515625" style="1" customWidth="1"/>
    <col min="14603" max="14605" width="0" style="1" hidden="1" customWidth="1"/>
    <col min="14606" max="14606" width="5.28515625" style="1" customWidth="1"/>
    <col min="14607" max="14609" width="0" style="1" hidden="1" customWidth="1"/>
    <col min="14610" max="14610" width="15" style="1" bestFit="1" customWidth="1"/>
    <col min="14611" max="14611" width="11.7109375" style="1" bestFit="1" customWidth="1"/>
    <col min="14612" max="14614" width="4" style="1" bestFit="1" customWidth="1"/>
    <col min="14615" max="14615" width="3.5703125" style="1" bestFit="1" customWidth="1"/>
    <col min="14616" max="14617" width="0" style="1" hidden="1" customWidth="1"/>
    <col min="14618" max="14618" width="12.85546875" style="1" bestFit="1" customWidth="1"/>
    <col min="14619" max="14619" width="5.140625" style="1" bestFit="1" customWidth="1"/>
    <col min="14620" max="14620" width="8.85546875" style="1" customWidth="1"/>
    <col min="14621" max="14848" width="9.140625" style="1"/>
    <col min="14849" max="14849" width="1.28515625" style="1" customWidth="1"/>
    <col min="14850" max="14850" width="43.42578125" style="1" customWidth="1"/>
    <col min="14851" max="14851" width="17.85546875" style="1" customWidth="1"/>
    <col min="14852" max="14852" width="18.5703125" style="1" customWidth="1"/>
    <col min="14853" max="14853" width="17.140625" style="1" customWidth="1"/>
    <col min="14854" max="14854" width="1" style="1" customWidth="1"/>
    <col min="14855" max="14855" width="11.42578125" style="1" bestFit="1" customWidth="1"/>
    <col min="14856" max="14857" width="0" style="1" hidden="1" customWidth="1"/>
    <col min="14858" max="14858" width="5.28515625" style="1" customWidth="1"/>
    <col min="14859" max="14861" width="0" style="1" hidden="1" customWidth="1"/>
    <col min="14862" max="14862" width="5.28515625" style="1" customWidth="1"/>
    <col min="14863" max="14865" width="0" style="1" hidden="1" customWidth="1"/>
    <col min="14866" max="14866" width="15" style="1" bestFit="1" customWidth="1"/>
    <col min="14867" max="14867" width="11.7109375" style="1" bestFit="1" customWidth="1"/>
    <col min="14868" max="14870" width="4" style="1" bestFit="1" customWidth="1"/>
    <col min="14871" max="14871" width="3.5703125" style="1" bestFit="1" customWidth="1"/>
    <col min="14872" max="14873" width="0" style="1" hidden="1" customWidth="1"/>
    <col min="14874" max="14874" width="12.85546875" style="1" bestFit="1" customWidth="1"/>
    <col min="14875" max="14875" width="5.140625" style="1" bestFit="1" customWidth="1"/>
    <col min="14876" max="14876" width="8.85546875" style="1" customWidth="1"/>
    <col min="14877" max="15104" width="9.140625" style="1"/>
    <col min="15105" max="15105" width="1.28515625" style="1" customWidth="1"/>
    <col min="15106" max="15106" width="43.42578125" style="1" customWidth="1"/>
    <col min="15107" max="15107" width="17.85546875" style="1" customWidth="1"/>
    <col min="15108" max="15108" width="18.5703125" style="1" customWidth="1"/>
    <col min="15109" max="15109" width="17.140625" style="1" customWidth="1"/>
    <col min="15110" max="15110" width="1" style="1" customWidth="1"/>
    <col min="15111" max="15111" width="11.42578125" style="1" bestFit="1" customWidth="1"/>
    <col min="15112" max="15113" width="0" style="1" hidden="1" customWidth="1"/>
    <col min="15114" max="15114" width="5.28515625" style="1" customWidth="1"/>
    <col min="15115" max="15117" width="0" style="1" hidden="1" customWidth="1"/>
    <col min="15118" max="15118" width="5.28515625" style="1" customWidth="1"/>
    <col min="15119" max="15121" width="0" style="1" hidden="1" customWidth="1"/>
    <col min="15122" max="15122" width="15" style="1" bestFit="1" customWidth="1"/>
    <col min="15123" max="15123" width="11.7109375" style="1" bestFit="1" customWidth="1"/>
    <col min="15124" max="15126" width="4" style="1" bestFit="1" customWidth="1"/>
    <col min="15127" max="15127" width="3.5703125" style="1" bestFit="1" customWidth="1"/>
    <col min="15128" max="15129" width="0" style="1" hidden="1" customWidth="1"/>
    <col min="15130" max="15130" width="12.85546875" style="1" bestFit="1" customWidth="1"/>
    <col min="15131" max="15131" width="5.140625" style="1" bestFit="1" customWidth="1"/>
    <col min="15132" max="15132" width="8.85546875" style="1" customWidth="1"/>
    <col min="15133" max="15360" width="9.140625" style="1"/>
    <col min="15361" max="15361" width="1.28515625" style="1" customWidth="1"/>
    <col min="15362" max="15362" width="43.42578125" style="1" customWidth="1"/>
    <col min="15363" max="15363" width="17.85546875" style="1" customWidth="1"/>
    <col min="15364" max="15364" width="18.5703125" style="1" customWidth="1"/>
    <col min="15365" max="15365" width="17.140625" style="1" customWidth="1"/>
    <col min="15366" max="15366" width="1" style="1" customWidth="1"/>
    <col min="15367" max="15367" width="11.42578125" style="1" bestFit="1" customWidth="1"/>
    <col min="15368" max="15369" width="0" style="1" hidden="1" customWidth="1"/>
    <col min="15370" max="15370" width="5.28515625" style="1" customWidth="1"/>
    <col min="15371" max="15373" width="0" style="1" hidden="1" customWidth="1"/>
    <col min="15374" max="15374" width="5.28515625" style="1" customWidth="1"/>
    <col min="15375" max="15377" width="0" style="1" hidden="1" customWidth="1"/>
    <col min="15378" max="15378" width="15" style="1" bestFit="1" customWidth="1"/>
    <col min="15379" max="15379" width="11.7109375" style="1" bestFit="1" customWidth="1"/>
    <col min="15380" max="15382" width="4" style="1" bestFit="1" customWidth="1"/>
    <col min="15383" max="15383" width="3.5703125" style="1" bestFit="1" customWidth="1"/>
    <col min="15384" max="15385" width="0" style="1" hidden="1" customWidth="1"/>
    <col min="15386" max="15386" width="12.85546875" style="1" bestFit="1" customWidth="1"/>
    <col min="15387" max="15387" width="5.140625" style="1" bestFit="1" customWidth="1"/>
    <col min="15388" max="15388" width="8.85546875" style="1" customWidth="1"/>
    <col min="15389" max="15616" width="9.140625" style="1"/>
    <col min="15617" max="15617" width="1.28515625" style="1" customWidth="1"/>
    <col min="15618" max="15618" width="43.42578125" style="1" customWidth="1"/>
    <col min="15619" max="15619" width="17.85546875" style="1" customWidth="1"/>
    <col min="15620" max="15620" width="18.5703125" style="1" customWidth="1"/>
    <col min="15621" max="15621" width="17.140625" style="1" customWidth="1"/>
    <col min="15622" max="15622" width="1" style="1" customWidth="1"/>
    <col min="15623" max="15623" width="11.42578125" style="1" bestFit="1" customWidth="1"/>
    <col min="15624" max="15625" width="0" style="1" hidden="1" customWidth="1"/>
    <col min="15626" max="15626" width="5.28515625" style="1" customWidth="1"/>
    <col min="15627" max="15629" width="0" style="1" hidden="1" customWidth="1"/>
    <col min="15630" max="15630" width="5.28515625" style="1" customWidth="1"/>
    <col min="15631" max="15633" width="0" style="1" hidden="1" customWidth="1"/>
    <col min="15634" max="15634" width="15" style="1" bestFit="1" customWidth="1"/>
    <col min="15635" max="15635" width="11.7109375" style="1" bestFit="1" customWidth="1"/>
    <col min="15636" max="15638" width="4" style="1" bestFit="1" customWidth="1"/>
    <col min="15639" max="15639" width="3.5703125" style="1" bestFit="1" customWidth="1"/>
    <col min="15640" max="15641" width="0" style="1" hidden="1" customWidth="1"/>
    <col min="15642" max="15642" width="12.85546875" style="1" bestFit="1" customWidth="1"/>
    <col min="15643" max="15643" width="5.140625" style="1" bestFit="1" customWidth="1"/>
    <col min="15644" max="15644" width="8.85546875" style="1" customWidth="1"/>
    <col min="15645" max="15872" width="9.140625" style="1"/>
    <col min="15873" max="15873" width="1.28515625" style="1" customWidth="1"/>
    <col min="15874" max="15874" width="43.42578125" style="1" customWidth="1"/>
    <col min="15875" max="15875" width="17.85546875" style="1" customWidth="1"/>
    <col min="15876" max="15876" width="18.5703125" style="1" customWidth="1"/>
    <col min="15877" max="15877" width="17.140625" style="1" customWidth="1"/>
    <col min="15878" max="15878" width="1" style="1" customWidth="1"/>
    <col min="15879" max="15879" width="11.42578125" style="1" bestFit="1" customWidth="1"/>
    <col min="15880" max="15881" width="0" style="1" hidden="1" customWidth="1"/>
    <col min="15882" max="15882" width="5.28515625" style="1" customWidth="1"/>
    <col min="15883" max="15885" width="0" style="1" hidden="1" customWidth="1"/>
    <col min="15886" max="15886" width="5.28515625" style="1" customWidth="1"/>
    <col min="15887" max="15889" width="0" style="1" hidden="1" customWidth="1"/>
    <col min="15890" max="15890" width="15" style="1" bestFit="1" customWidth="1"/>
    <col min="15891" max="15891" width="11.7109375" style="1" bestFit="1" customWidth="1"/>
    <col min="15892" max="15894" width="4" style="1" bestFit="1" customWidth="1"/>
    <col min="15895" max="15895" width="3.5703125" style="1" bestFit="1" customWidth="1"/>
    <col min="15896" max="15897" width="0" style="1" hidden="1" customWidth="1"/>
    <col min="15898" max="15898" width="12.85546875" style="1" bestFit="1" customWidth="1"/>
    <col min="15899" max="15899" width="5.140625" style="1" bestFit="1" customWidth="1"/>
    <col min="15900" max="15900" width="8.85546875" style="1" customWidth="1"/>
    <col min="15901" max="16128" width="9.140625" style="1"/>
    <col min="16129" max="16129" width="1.28515625" style="1" customWidth="1"/>
    <col min="16130" max="16130" width="43.42578125" style="1" customWidth="1"/>
    <col min="16131" max="16131" width="17.85546875" style="1" customWidth="1"/>
    <col min="16132" max="16132" width="18.5703125" style="1" customWidth="1"/>
    <col min="16133" max="16133" width="17.140625" style="1" customWidth="1"/>
    <col min="16134" max="16134" width="1" style="1" customWidth="1"/>
    <col min="16135" max="16135" width="11.42578125" style="1" bestFit="1" customWidth="1"/>
    <col min="16136" max="16137" width="0" style="1" hidden="1" customWidth="1"/>
    <col min="16138" max="16138" width="5.28515625" style="1" customWidth="1"/>
    <col min="16139" max="16141" width="0" style="1" hidden="1" customWidth="1"/>
    <col min="16142" max="16142" width="5.28515625" style="1" customWidth="1"/>
    <col min="16143" max="16145" width="0" style="1" hidden="1" customWidth="1"/>
    <col min="16146" max="16146" width="15" style="1" bestFit="1" customWidth="1"/>
    <col min="16147" max="16147" width="11.7109375" style="1" bestFit="1" customWidth="1"/>
    <col min="16148" max="16150" width="4" style="1" bestFit="1" customWidth="1"/>
    <col min="16151" max="16151" width="3.5703125" style="1" bestFit="1" customWidth="1"/>
    <col min="16152" max="16153" width="0" style="1" hidden="1" customWidth="1"/>
    <col min="16154" max="16154" width="12.85546875" style="1" bestFit="1" customWidth="1"/>
    <col min="16155" max="16155" width="5.140625" style="1" bestFit="1" customWidth="1"/>
    <col min="16156" max="16156" width="8.85546875" style="1" customWidth="1"/>
    <col min="16157" max="16384" width="9.140625" style="1"/>
  </cols>
  <sheetData>
    <row r="4" spans="1:10" x14ac:dyDescent="0.25">
      <c r="A4" s="305"/>
      <c r="B4" s="305"/>
      <c r="C4" s="305"/>
      <c r="D4" s="305"/>
      <c r="E4" s="305"/>
    </row>
    <row r="5" spans="1:10" x14ac:dyDescent="0.25">
      <c r="A5" s="4"/>
      <c r="B5" s="4"/>
      <c r="C5" s="4"/>
      <c r="D5" s="5"/>
      <c r="E5" s="4"/>
    </row>
    <row r="6" spans="1:10" ht="31.5" customHeight="1" x14ac:dyDescent="0.25">
      <c r="B6" s="295" t="s">
        <v>0</v>
      </c>
      <c r="C6" s="295"/>
      <c r="D6" s="295"/>
      <c r="E6" s="295"/>
    </row>
    <row r="7" spans="1:10" x14ac:dyDescent="0.25">
      <c r="B7" s="6" t="s">
        <v>1</v>
      </c>
    </row>
    <row r="8" spans="1:10" x14ac:dyDescent="0.25">
      <c r="B8" s="7" t="s">
        <v>2</v>
      </c>
      <c r="C8" s="8"/>
    </row>
    <row r="9" spans="1:10" x14ac:dyDescent="0.25">
      <c r="B9" s="9"/>
    </row>
    <row r="10" spans="1:10" x14ac:dyDescent="0.25">
      <c r="B10" s="299" t="s">
        <v>3</v>
      </c>
      <c r="C10" s="299"/>
      <c r="D10" s="299"/>
      <c r="E10" s="299"/>
    </row>
    <row r="11" spans="1:10" x14ac:dyDescent="0.25">
      <c r="B11" s="10"/>
    </row>
    <row r="12" spans="1:10" ht="144.75" customHeight="1" x14ac:dyDescent="0.25">
      <c r="B12" s="288" t="s">
        <v>4</v>
      </c>
      <c r="C12" s="288"/>
      <c r="D12" s="288"/>
      <c r="E12" s="288"/>
      <c r="G12" s="8"/>
      <c r="H12" s="8"/>
      <c r="I12" s="8"/>
      <c r="J12" s="11"/>
    </row>
    <row r="13" spans="1:10" ht="18" customHeight="1" x14ac:dyDescent="0.25">
      <c r="B13" s="12"/>
      <c r="C13" s="12"/>
      <c r="D13" s="12"/>
      <c r="E13" s="12"/>
      <c r="G13" s="8"/>
      <c r="H13" s="8"/>
      <c r="I13" s="8"/>
      <c r="J13" s="11"/>
    </row>
    <row r="14" spans="1:10" ht="27.75" customHeight="1" x14ac:dyDescent="0.25">
      <c r="B14" s="299" t="str">
        <f>("Principales funcionarios al "&amp;[1]BALANZA!B3&amp;".")</f>
        <v>Principales funcionarios al 31 de Diciembre del 2025.</v>
      </c>
      <c r="C14" s="299"/>
      <c r="D14" s="299"/>
      <c r="E14" s="299"/>
    </row>
    <row r="15" spans="1:10" ht="17.25" customHeight="1" x14ac:dyDescent="0.25">
      <c r="B15" s="13" t="s">
        <v>5</v>
      </c>
      <c r="C15" s="4" t="s">
        <v>6</v>
      </c>
      <c r="D15" s="4"/>
      <c r="F15" s="2"/>
      <c r="H15" s="2"/>
      <c r="J15" s="1"/>
    </row>
    <row r="16" spans="1:10" ht="17.25" customHeight="1" x14ac:dyDescent="0.25">
      <c r="B16" s="14" t="s">
        <v>7</v>
      </c>
      <c r="C16" s="1" t="s">
        <v>8</v>
      </c>
      <c r="D16" s="1"/>
      <c r="F16" s="2"/>
      <c r="H16" s="2"/>
      <c r="J16" s="1"/>
    </row>
    <row r="17" spans="2:10" ht="17.25" customHeight="1" x14ac:dyDescent="0.25">
      <c r="B17" s="15" t="s">
        <v>9</v>
      </c>
      <c r="C17" s="1" t="s">
        <v>10</v>
      </c>
      <c r="D17" s="1"/>
      <c r="F17" s="2"/>
      <c r="H17" s="2"/>
      <c r="J17" s="1"/>
    </row>
    <row r="18" spans="2:10" ht="17.25" customHeight="1" x14ac:dyDescent="0.25">
      <c r="B18" s="16" t="s">
        <v>11</v>
      </c>
      <c r="C18" s="1" t="s">
        <v>12</v>
      </c>
      <c r="F18" s="2"/>
      <c r="H18" s="2"/>
      <c r="J18" s="1"/>
    </row>
    <row r="19" spans="2:10" ht="17.25" customHeight="1" x14ac:dyDescent="0.25">
      <c r="B19" s="15" t="s">
        <v>13</v>
      </c>
      <c r="C19" s="1" t="s">
        <v>14</v>
      </c>
      <c r="F19" s="2"/>
      <c r="H19" s="2"/>
      <c r="J19" s="1"/>
    </row>
    <row r="20" spans="2:10" ht="17.25" customHeight="1" x14ac:dyDescent="0.25">
      <c r="B20" s="15" t="s">
        <v>15</v>
      </c>
      <c r="C20" s="1" t="s">
        <v>16</v>
      </c>
      <c r="F20" s="2"/>
      <c r="H20" s="2"/>
      <c r="J20" s="1"/>
    </row>
    <row r="21" spans="2:10" ht="17.25" customHeight="1" x14ac:dyDescent="0.25">
      <c r="B21" s="15" t="s">
        <v>17</v>
      </c>
      <c r="C21" s="1" t="s">
        <v>18</v>
      </c>
      <c r="F21" s="2"/>
      <c r="H21" s="2"/>
      <c r="J21" s="1"/>
    </row>
    <row r="22" spans="2:10" ht="17.25" customHeight="1" x14ac:dyDescent="0.25">
      <c r="B22" s="15" t="s">
        <v>19</v>
      </c>
      <c r="C22" s="1" t="s">
        <v>20</v>
      </c>
      <c r="F22" s="2"/>
      <c r="H22" s="2"/>
      <c r="J22" s="1"/>
    </row>
    <row r="23" spans="2:10" ht="17.25" customHeight="1" x14ac:dyDescent="0.25">
      <c r="B23" s="15" t="s">
        <v>21</v>
      </c>
      <c r="C23" s="1" t="s">
        <v>22</v>
      </c>
      <c r="F23" s="2"/>
      <c r="H23" s="2"/>
      <c r="J23" s="1"/>
    </row>
    <row r="24" spans="2:10" ht="17.25" customHeight="1" x14ac:dyDescent="0.25">
      <c r="B24" s="15" t="s">
        <v>23</v>
      </c>
      <c r="C24" s="1" t="s">
        <v>24</v>
      </c>
      <c r="F24" s="2"/>
      <c r="H24" s="2"/>
      <c r="J24" s="1"/>
    </row>
    <row r="25" spans="2:10" ht="17.25" customHeight="1" x14ac:dyDescent="0.25">
      <c r="B25" s="15" t="s">
        <v>25</v>
      </c>
      <c r="C25" s="1" t="s">
        <v>26</v>
      </c>
      <c r="F25" s="2"/>
      <c r="H25" s="2"/>
      <c r="J25" s="1"/>
    </row>
    <row r="26" spans="2:10" ht="17.25" customHeight="1" x14ac:dyDescent="0.25">
      <c r="B26" s="14" t="s">
        <v>27</v>
      </c>
      <c r="C26" s="1" t="s">
        <v>28</v>
      </c>
      <c r="D26" s="1"/>
      <c r="F26" s="2"/>
      <c r="H26" s="2"/>
      <c r="J26" s="1"/>
    </row>
    <row r="27" spans="2:10" x14ac:dyDescent="0.25">
      <c r="B27" s="15" t="s">
        <v>29</v>
      </c>
      <c r="C27" s="1" t="s">
        <v>30</v>
      </c>
      <c r="D27" s="1"/>
      <c r="F27" s="2"/>
      <c r="H27" s="2"/>
      <c r="J27" s="1"/>
    </row>
    <row r="28" spans="2:10" x14ac:dyDescent="0.25">
      <c r="B28" s="15" t="s">
        <v>31</v>
      </c>
      <c r="C28" s="1" t="s">
        <v>32</v>
      </c>
      <c r="D28" s="1"/>
      <c r="F28" s="2"/>
      <c r="H28" s="2"/>
      <c r="J28" s="1"/>
    </row>
    <row r="29" spans="2:10" x14ac:dyDescent="0.25">
      <c r="B29" s="14" t="s">
        <v>33</v>
      </c>
      <c r="C29" s="1" t="s">
        <v>34</v>
      </c>
      <c r="D29" s="1"/>
      <c r="F29" s="2"/>
      <c r="H29" s="2"/>
      <c r="J29" s="1"/>
    </row>
    <row r="30" spans="2:10" x14ac:dyDescent="0.25">
      <c r="B30" s="14" t="s">
        <v>35</v>
      </c>
      <c r="C30" s="1" t="s">
        <v>36</v>
      </c>
      <c r="D30" s="1"/>
      <c r="F30" s="2"/>
      <c r="H30" s="2"/>
      <c r="J30" s="1"/>
    </row>
    <row r="31" spans="2:10" x14ac:dyDescent="0.25">
      <c r="D31" s="1"/>
      <c r="F31" s="2"/>
      <c r="H31" s="2"/>
      <c r="J31" s="1"/>
    </row>
    <row r="32" spans="2:10" x14ac:dyDescent="0.25">
      <c r="B32" s="13"/>
      <c r="C32" s="2"/>
      <c r="D32" s="1"/>
    </row>
    <row r="33" spans="2:5" x14ac:dyDescent="0.25">
      <c r="B33" s="13"/>
      <c r="C33" s="2"/>
      <c r="D33" s="1"/>
    </row>
    <row r="34" spans="2:5" x14ac:dyDescent="0.25">
      <c r="B34" s="13"/>
      <c r="C34" s="2"/>
      <c r="D34" s="1"/>
    </row>
    <row r="35" spans="2:5" x14ac:dyDescent="0.25">
      <c r="B35" s="13"/>
      <c r="C35" s="2"/>
      <c r="D35" s="1"/>
    </row>
    <row r="36" spans="2:5" x14ac:dyDescent="0.25">
      <c r="B36" s="13"/>
      <c r="C36" s="2"/>
      <c r="D36" s="1"/>
    </row>
    <row r="37" spans="2:5" x14ac:dyDescent="0.25">
      <c r="B37" s="13"/>
      <c r="C37" s="2"/>
      <c r="D37" s="1"/>
    </row>
    <row r="38" spans="2:5" x14ac:dyDescent="0.25">
      <c r="B38" s="13"/>
      <c r="C38" s="2"/>
      <c r="D38" s="1"/>
    </row>
    <row r="39" spans="2:5" x14ac:dyDescent="0.25">
      <c r="B39" s="13"/>
      <c r="C39" s="2"/>
      <c r="D39" s="1"/>
    </row>
    <row r="40" spans="2:5" x14ac:dyDescent="0.25">
      <c r="B40" s="13"/>
      <c r="C40" s="2"/>
      <c r="D40" s="1"/>
    </row>
    <row r="41" spans="2:5" x14ac:dyDescent="0.25">
      <c r="B41" s="13"/>
      <c r="C41" s="2"/>
      <c r="D41" s="1"/>
    </row>
    <row r="42" spans="2:5" x14ac:dyDescent="0.25">
      <c r="B42" s="13"/>
      <c r="C42" s="2"/>
      <c r="D42" s="1"/>
    </row>
    <row r="43" spans="2:5" x14ac:dyDescent="0.25">
      <c r="B43" s="13"/>
      <c r="C43" s="2"/>
      <c r="D43" s="1"/>
    </row>
    <row r="44" spans="2:5" x14ac:dyDescent="0.25">
      <c r="B44" s="13" t="s">
        <v>37</v>
      </c>
    </row>
    <row r="45" spans="2:5" ht="30" customHeight="1" x14ac:dyDescent="0.25">
      <c r="B45" s="295" t="s">
        <v>38</v>
      </c>
      <c r="C45" s="295"/>
      <c r="D45" s="295"/>
      <c r="E45" s="295"/>
    </row>
    <row r="46" spans="2:5" ht="60" customHeight="1" x14ac:dyDescent="0.25">
      <c r="B46" s="283" t="s">
        <v>39</v>
      </c>
      <c r="C46" s="283"/>
      <c r="D46" s="283"/>
      <c r="E46" s="283"/>
    </row>
    <row r="47" spans="2:5" ht="56.25" customHeight="1" x14ac:dyDescent="0.25">
      <c r="B47" s="283" t="s">
        <v>40</v>
      </c>
      <c r="C47" s="283"/>
      <c r="D47" s="283"/>
      <c r="E47" s="283"/>
    </row>
    <row r="48" spans="2:5" ht="69.75" customHeight="1" x14ac:dyDescent="0.25">
      <c r="B48" s="288" t="s">
        <v>41</v>
      </c>
      <c r="C48" s="288"/>
      <c r="D48" s="288"/>
      <c r="E48" s="288"/>
    </row>
    <row r="49" spans="2:5" ht="13.5" customHeight="1" x14ac:dyDescent="0.25">
      <c r="B49" s="17"/>
      <c r="C49" s="17"/>
      <c r="D49" s="17"/>
      <c r="E49" s="17"/>
    </row>
    <row r="50" spans="2:5" ht="13.5" customHeight="1" x14ac:dyDescent="0.25">
      <c r="B50" s="17"/>
      <c r="C50" s="17"/>
      <c r="D50" s="17"/>
      <c r="E50" s="17"/>
    </row>
    <row r="51" spans="2:5" ht="22.5" customHeight="1" x14ac:dyDescent="0.25">
      <c r="B51" s="295" t="s">
        <v>42</v>
      </c>
      <c r="C51" s="295"/>
      <c r="D51" s="295"/>
      <c r="E51" s="295"/>
    </row>
    <row r="52" spans="2:5" ht="21" customHeight="1" x14ac:dyDescent="0.25">
      <c r="B52" s="295" t="s">
        <v>43</v>
      </c>
      <c r="C52" s="295"/>
      <c r="D52" s="295"/>
      <c r="E52" s="295"/>
    </row>
    <row r="53" spans="2:5" ht="9.75" customHeight="1" x14ac:dyDescent="0.25">
      <c r="B53" s="10"/>
    </row>
    <row r="54" spans="2:5" ht="48" customHeight="1" x14ac:dyDescent="0.25">
      <c r="B54" s="304" t="s">
        <v>44</v>
      </c>
      <c r="C54" s="304"/>
      <c r="D54" s="304"/>
      <c r="E54" s="304"/>
    </row>
    <row r="55" spans="2:5" ht="14.25" customHeight="1" x14ac:dyDescent="0.25">
      <c r="B55" s="18"/>
      <c r="C55" s="18"/>
      <c r="D55" s="18"/>
      <c r="E55" s="18"/>
    </row>
    <row r="56" spans="2:5" ht="14.25" customHeight="1" x14ac:dyDescent="0.25">
      <c r="B56" s="18"/>
      <c r="C56" s="18"/>
      <c r="D56" s="18"/>
      <c r="E56" s="18"/>
    </row>
    <row r="57" spans="2:5" ht="25.5" customHeight="1" x14ac:dyDescent="0.25">
      <c r="B57" s="13" t="s">
        <v>45</v>
      </c>
      <c r="C57" s="18"/>
      <c r="D57" s="19"/>
      <c r="E57" s="18"/>
    </row>
    <row r="58" spans="2:5" x14ac:dyDescent="0.25">
      <c r="B58" s="13" t="s">
        <v>46</v>
      </c>
    </row>
    <row r="59" spans="2:5" ht="55.5" customHeight="1" x14ac:dyDescent="0.25">
      <c r="B59" s="283" t="s">
        <v>47</v>
      </c>
      <c r="C59" s="283"/>
      <c r="D59" s="283"/>
      <c r="E59" s="283"/>
    </row>
    <row r="60" spans="2:5" ht="27" customHeight="1" x14ac:dyDescent="0.25">
      <c r="B60" s="283" t="s">
        <v>48</v>
      </c>
      <c r="C60" s="283"/>
      <c r="D60" s="283"/>
      <c r="E60" s="283"/>
    </row>
    <row r="61" spans="2:5" x14ac:dyDescent="0.25">
      <c r="B61" s="295" t="s">
        <v>49</v>
      </c>
      <c r="C61" s="295"/>
      <c r="D61" s="295"/>
      <c r="E61" s="295"/>
    </row>
    <row r="62" spans="2:5" ht="73.5" customHeight="1" x14ac:dyDescent="0.25">
      <c r="B62" s="290" t="s">
        <v>50</v>
      </c>
      <c r="C62" s="290"/>
      <c r="D62" s="290"/>
      <c r="E62" s="290"/>
    </row>
    <row r="63" spans="2:5" x14ac:dyDescent="0.25">
      <c r="B63" s="295" t="s">
        <v>51</v>
      </c>
      <c r="C63" s="295"/>
      <c r="D63" s="295"/>
      <c r="E63" s="295"/>
    </row>
    <row r="64" spans="2:5" ht="68.25" customHeight="1" x14ac:dyDescent="0.25">
      <c r="B64" s="288" t="s">
        <v>52</v>
      </c>
      <c r="C64" s="288"/>
      <c r="D64" s="288"/>
      <c r="E64" s="288"/>
    </row>
    <row r="65" spans="2:5" ht="26.25" customHeight="1" x14ac:dyDescent="0.25">
      <c r="B65" s="17"/>
      <c r="C65" s="17"/>
      <c r="D65" s="17"/>
      <c r="E65" s="17"/>
    </row>
    <row r="66" spans="2:5" ht="25.5" customHeight="1" x14ac:dyDescent="0.25">
      <c r="B66" s="295" t="s">
        <v>53</v>
      </c>
      <c r="C66" s="295"/>
      <c r="D66" s="295"/>
      <c r="E66" s="295"/>
    </row>
    <row r="67" spans="2:5" ht="46.5" customHeight="1" x14ac:dyDescent="0.25">
      <c r="B67" s="283" t="s">
        <v>54</v>
      </c>
      <c r="C67" s="283"/>
      <c r="D67" s="283"/>
      <c r="E67" s="283"/>
    </row>
    <row r="68" spans="2:5" ht="43.5" hidden="1" customHeight="1" x14ac:dyDescent="0.25">
      <c r="B68" s="303" t="s">
        <v>55</v>
      </c>
      <c r="C68" s="303"/>
      <c r="D68" s="303"/>
      <c r="E68" s="303"/>
    </row>
    <row r="69" spans="2:5" ht="58.5" hidden="1" customHeight="1" x14ac:dyDescent="0.25">
      <c r="B69" s="303" t="s">
        <v>56</v>
      </c>
      <c r="C69" s="303"/>
      <c r="D69" s="303"/>
      <c r="E69" s="303"/>
    </row>
    <row r="70" spans="2:5" ht="30" hidden="1" customHeight="1" x14ac:dyDescent="0.25">
      <c r="B70" s="303" t="s">
        <v>57</v>
      </c>
      <c r="C70" s="303"/>
      <c r="D70" s="303"/>
      <c r="E70" s="303"/>
    </row>
    <row r="71" spans="2:5" hidden="1" x14ac:dyDescent="0.25">
      <c r="B71" s="303" t="s">
        <v>58</v>
      </c>
      <c r="C71" s="303"/>
      <c r="D71" s="303"/>
      <c r="E71" s="303"/>
    </row>
    <row r="72" spans="2:5" ht="63.75" hidden="1" customHeight="1" x14ac:dyDescent="0.25">
      <c r="B72" s="303" t="s">
        <v>59</v>
      </c>
      <c r="C72" s="303"/>
      <c r="D72" s="303"/>
      <c r="E72" s="303"/>
    </row>
    <row r="73" spans="2:5" ht="42" hidden="1" customHeight="1" x14ac:dyDescent="0.25">
      <c r="B73" s="303" t="s">
        <v>60</v>
      </c>
      <c r="C73" s="303"/>
      <c r="D73" s="303"/>
      <c r="E73" s="303"/>
    </row>
    <row r="74" spans="2:5" ht="78.75" hidden="1" customHeight="1" x14ac:dyDescent="0.25">
      <c r="B74" s="303" t="s">
        <v>61</v>
      </c>
      <c r="C74" s="303"/>
      <c r="D74" s="303"/>
      <c r="E74" s="303"/>
    </row>
    <row r="75" spans="2:5" ht="66" hidden="1" customHeight="1" x14ac:dyDescent="0.25">
      <c r="B75" s="303" t="s">
        <v>62</v>
      </c>
      <c r="C75" s="303"/>
      <c r="D75" s="303"/>
      <c r="E75" s="303"/>
    </row>
    <row r="76" spans="2:5" ht="13.5" customHeight="1" x14ac:dyDescent="0.25">
      <c r="B76" s="20"/>
      <c r="C76" s="20"/>
      <c r="D76" s="21"/>
      <c r="E76" s="20"/>
    </row>
    <row r="77" spans="2:5" ht="26.25" customHeight="1" x14ac:dyDescent="0.25">
      <c r="B77" s="295" t="s">
        <v>63</v>
      </c>
      <c r="C77" s="295"/>
      <c r="D77" s="295"/>
      <c r="E77" s="295"/>
    </row>
    <row r="78" spans="2:5" ht="34.5" customHeight="1" x14ac:dyDescent="0.25">
      <c r="B78" s="298" t="s">
        <v>64</v>
      </c>
      <c r="C78" s="298"/>
      <c r="D78" s="298"/>
      <c r="E78" s="298"/>
    </row>
    <row r="79" spans="2:5" ht="15.75" customHeight="1" x14ac:dyDescent="0.25">
      <c r="B79" s="20"/>
      <c r="C79" s="20"/>
      <c r="D79" s="20"/>
      <c r="E79" s="20"/>
    </row>
    <row r="80" spans="2:5" ht="15.75" customHeight="1" x14ac:dyDescent="0.25">
      <c r="B80" s="22" t="s">
        <v>65</v>
      </c>
      <c r="C80" s="20"/>
      <c r="D80" s="21"/>
      <c r="E80" s="20"/>
    </row>
    <row r="81" spans="2:5" ht="20.25" customHeight="1" x14ac:dyDescent="0.25">
      <c r="B81" s="295" t="s">
        <v>66</v>
      </c>
      <c r="C81" s="295"/>
      <c r="D81" s="295"/>
      <c r="E81" s="295"/>
    </row>
    <row r="82" spans="2:5" x14ac:dyDescent="0.25">
      <c r="B82" s="295" t="s">
        <v>67</v>
      </c>
      <c r="C82" s="295"/>
      <c r="D82" s="295"/>
      <c r="E82" s="295"/>
    </row>
    <row r="83" spans="2:5" ht="49.5" customHeight="1" x14ac:dyDescent="0.25">
      <c r="B83" s="298" t="s">
        <v>68</v>
      </c>
      <c r="C83" s="298"/>
      <c r="D83" s="298"/>
      <c r="E83" s="298"/>
    </row>
    <row r="84" spans="2:5" x14ac:dyDescent="0.25">
      <c r="B84" s="295" t="s">
        <v>69</v>
      </c>
      <c r="C84" s="295"/>
      <c r="D84" s="295"/>
      <c r="E84" s="295"/>
    </row>
    <row r="85" spans="2:5" ht="45" customHeight="1" x14ac:dyDescent="0.25">
      <c r="B85" s="283" t="s">
        <v>70</v>
      </c>
      <c r="C85" s="283"/>
      <c r="D85" s="283"/>
      <c r="E85" s="283"/>
    </row>
    <row r="86" spans="2:5" x14ac:dyDescent="0.25">
      <c r="B86" s="295" t="s">
        <v>71</v>
      </c>
      <c r="C86" s="295"/>
      <c r="D86" s="295"/>
      <c r="E86" s="295"/>
    </row>
    <row r="87" spans="2:5" ht="39.75" customHeight="1" x14ac:dyDescent="0.25">
      <c r="B87" s="283" t="s">
        <v>72</v>
      </c>
      <c r="C87" s="283"/>
      <c r="D87" s="283"/>
      <c r="E87" s="283"/>
    </row>
    <row r="88" spans="2:5" x14ac:dyDescent="0.25">
      <c r="B88" s="295" t="s">
        <v>73</v>
      </c>
      <c r="C88" s="295"/>
      <c r="D88" s="295"/>
      <c r="E88" s="295"/>
    </row>
    <row r="89" spans="2:5" ht="40.5" customHeight="1" x14ac:dyDescent="0.25">
      <c r="B89" s="283" t="s">
        <v>74</v>
      </c>
      <c r="C89" s="283"/>
      <c r="D89" s="283"/>
      <c r="E89" s="283"/>
    </row>
    <row r="90" spans="2:5" x14ac:dyDescent="0.25">
      <c r="B90" s="295" t="s">
        <v>75</v>
      </c>
      <c r="C90" s="295"/>
      <c r="D90" s="295"/>
      <c r="E90" s="295"/>
    </row>
    <row r="91" spans="2:5" ht="39" customHeight="1" x14ac:dyDescent="0.25">
      <c r="B91" s="283" t="s">
        <v>76</v>
      </c>
      <c r="C91" s="283"/>
      <c r="D91" s="283"/>
      <c r="E91" s="283"/>
    </row>
    <row r="92" spans="2:5" x14ac:dyDescent="0.25">
      <c r="B92" s="295" t="s">
        <v>77</v>
      </c>
      <c r="C92" s="295"/>
      <c r="D92" s="295"/>
      <c r="E92" s="295"/>
    </row>
    <row r="93" spans="2:5" ht="25.5" customHeight="1" x14ac:dyDescent="0.25">
      <c r="B93" s="295" t="s">
        <v>78</v>
      </c>
      <c r="C93" s="295"/>
      <c r="D93" s="295"/>
      <c r="E93" s="295"/>
    </row>
    <row r="94" spans="2:5" ht="45" customHeight="1" x14ac:dyDescent="0.25">
      <c r="B94" s="283" t="s">
        <v>79</v>
      </c>
      <c r="C94" s="283"/>
      <c r="D94" s="283"/>
      <c r="E94" s="283"/>
    </row>
    <row r="95" spans="2:5" ht="35.25" customHeight="1" x14ac:dyDescent="0.25">
      <c r="B95" s="283" t="s">
        <v>80</v>
      </c>
      <c r="C95" s="283"/>
      <c r="D95" s="283"/>
      <c r="E95" s="283"/>
    </row>
    <row r="96" spans="2:5" ht="39.75" customHeight="1" x14ac:dyDescent="0.25">
      <c r="B96" s="288" t="s">
        <v>81</v>
      </c>
      <c r="C96" s="288"/>
      <c r="D96" s="288"/>
      <c r="E96" s="288"/>
    </row>
    <row r="97" spans="2:5" ht="51.75" customHeight="1" x14ac:dyDescent="0.25">
      <c r="B97" s="283" t="s">
        <v>82</v>
      </c>
      <c r="C97" s="283"/>
      <c r="D97" s="283"/>
      <c r="E97" s="283"/>
    </row>
    <row r="98" spans="2:5" ht="19.5" customHeight="1" x14ac:dyDescent="0.25">
      <c r="B98" s="12"/>
      <c r="C98" s="12"/>
      <c r="D98" s="12"/>
      <c r="E98" s="12"/>
    </row>
    <row r="99" spans="2:5" ht="19.5" customHeight="1" x14ac:dyDescent="0.25">
      <c r="B99" s="12"/>
      <c r="C99" s="12"/>
      <c r="D99" s="12"/>
      <c r="E99" s="12"/>
    </row>
    <row r="100" spans="2:5" ht="21" customHeight="1" x14ac:dyDescent="0.25">
      <c r="B100" s="12"/>
      <c r="C100" s="12"/>
      <c r="D100" s="12"/>
      <c r="E100" s="12"/>
    </row>
    <row r="101" spans="2:5" ht="24.75" customHeight="1" x14ac:dyDescent="0.25">
      <c r="B101" s="12"/>
      <c r="C101" s="12"/>
      <c r="D101" s="12"/>
      <c r="E101" s="12"/>
    </row>
    <row r="102" spans="2:5" ht="33" customHeight="1" x14ac:dyDescent="0.25">
      <c r="B102" s="12"/>
      <c r="C102" s="12"/>
      <c r="D102" s="12"/>
      <c r="E102" s="12"/>
    </row>
    <row r="103" spans="2:5" ht="36.75" customHeight="1" x14ac:dyDescent="0.25">
      <c r="B103" s="283" t="s">
        <v>83</v>
      </c>
      <c r="C103" s="283"/>
      <c r="D103" s="283"/>
      <c r="E103" s="283"/>
    </row>
    <row r="104" spans="2:5" ht="77.25" customHeight="1" x14ac:dyDescent="0.25">
      <c r="B104" s="283" t="s">
        <v>84</v>
      </c>
      <c r="C104" s="283"/>
      <c r="D104" s="283"/>
      <c r="E104" s="283"/>
    </row>
    <row r="105" spans="2:5" ht="18.75" customHeight="1" x14ac:dyDescent="0.25">
      <c r="B105" s="299" t="s">
        <v>85</v>
      </c>
      <c r="C105" s="299"/>
      <c r="D105" s="299"/>
      <c r="E105" s="299"/>
    </row>
    <row r="106" spans="2:5" ht="66.75" customHeight="1" x14ac:dyDescent="0.25">
      <c r="B106" s="283" t="s">
        <v>86</v>
      </c>
      <c r="C106" s="283"/>
      <c r="D106" s="283"/>
      <c r="E106" s="283"/>
    </row>
    <row r="107" spans="2:5" ht="55.5" customHeight="1" x14ac:dyDescent="0.25">
      <c r="B107" s="283" t="s">
        <v>87</v>
      </c>
      <c r="C107" s="283"/>
      <c r="D107" s="283"/>
      <c r="E107" s="283"/>
    </row>
    <row r="108" spans="2:5" ht="18.75" customHeight="1" x14ac:dyDescent="0.25">
      <c r="B108" s="299" t="s">
        <v>88</v>
      </c>
      <c r="C108" s="299"/>
      <c r="D108" s="299"/>
      <c r="E108" s="299"/>
    </row>
    <row r="109" spans="2:5" ht="42" customHeight="1" x14ac:dyDescent="0.25">
      <c r="B109" s="283" t="s">
        <v>89</v>
      </c>
      <c r="C109" s="283"/>
      <c r="D109" s="283"/>
      <c r="E109" s="283"/>
    </row>
    <row r="110" spans="2:5" ht="17.25" customHeight="1" x14ac:dyDescent="0.25">
      <c r="B110" s="12"/>
      <c r="C110" s="12"/>
      <c r="D110" s="12"/>
      <c r="E110" s="12"/>
    </row>
    <row r="111" spans="2:5" x14ac:dyDescent="0.25">
      <c r="B111" s="295" t="s">
        <v>90</v>
      </c>
      <c r="C111" s="295"/>
      <c r="D111" s="295"/>
      <c r="E111" s="295"/>
    </row>
    <row r="112" spans="2:5" ht="21.75" customHeight="1" x14ac:dyDescent="0.25">
      <c r="B112" s="295" t="s">
        <v>91</v>
      </c>
      <c r="C112" s="295"/>
      <c r="D112" s="295"/>
      <c r="E112" s="295"/>
    </row>
    <row r="113" spans="2:26" ht="30.75" customHeight="1" x14ac:dyDescent="0.25">
      <c r="B113" s="288" t="str">
        <f>("Un detalle del "&amp;_Toc208202813&amp;" al "&amp;[1]BALANZA!$B$3&amp;" "&amp;[1]BALANZA!$C$3&amp;" es como se detalla a continuación:")</f>
        <v>Un detalle del Efectivo y equivalentes de efectivo. al 31 de Diciembre del 2025 - 2024 es como se detalla a continuación:</v>
      </c>
      <c r="C113" s="289"/>
      <c r="D113" s="289"/>
      <c r="E113" s="289"/>
    </row>
    <row r="114" spans="2:26" ht="37.5" customHeight="1" x14ac:dyDescent="0.25">
      <c r="B114" s="283" t="str">
        <f>("El efectivo disponible en caja y cuentas bancarias presenta los siguientes ascenso  para el "&amp;C118&amp;" RD$"&amp;R127&amp;"  y para el "&amp;D118&amp;" fue de RD$ "&amp;R128&amp;" , el cual se detalla a continuación:")</f>
        <v>El efectivo disponible en caja y cuentas bancarias presenta los siguientes ascenso  para el 2025 RD$422,773,433.55  y para el 2024 fue de RD$ 305,489,331.63 , el cual se detalla a continuación:</v>
      </c>
      <c r="C114" s="283"/>
      <c r="D114" s="283"/>
      <c r="E114" s="283"/>
    </row>
    <row r="115" spans="2:26" ht="75" customHeight="1" x14ac:dyDescent="0.25">
      <c r="B115" s="283" t="s">
        <v>92</v>
      </c>
      <c r="C115" s="283"/>
      <c r="D115" s="283"/>
      <c r="E115" s="283"/>
    </row>
    <row r="116" spans="2:26" ht="22.5" customHeight="1" x14ac:dyDescent="0.25">
      <c r="B116" s="283" t="s">
        <v>93</v>
      </c>
      <c r="C116" s="283"/>
      <c r="D116" s="283"/>
      <c r="E116" s="283"/>
    </row>
    <row r="117" spans="2:26" ht="7.5" customHeight="1" x14ac:dyDescent="0.25">
      <c r="B117" s="10"/>
    </row>
    <row r="118" spans="2:26" x14ac:dyDescent="0.25">
      <c r="B118" s="23" t="s">
        <v>94</v>
      </c>
      <c r="C118" s="24">
        <f>+[1]BALANZA!B4</f>
        <v>2025</v>
      </c>
      <c r="D118" s="25">
        <f>+[1]BALANZA!C4</f>
        <v>2024</v>
      </c>
      <c r="E118" s="26" t="s">
        <v>95</v>
      </c>
    </row>
    <row r="119" spans="2:26" ht="18" hidden="1" customHeight="1" x14ac:dyDescent="0.25">
      <c r="B119" s="27" t="s">
        <v>96</v>
      </c>
      <c r="C119" s="28">
        <f>+'[1]BALANZA G'!C12</f>
        <v>0</v>
      </c>
      <c r="D119" s="29">
        <f>+'[1]BALANZA G'!D12</f>
        <v>0</v>
      </c>
      <c r="E119" s="30">
        <f t="shared" ref="E119:E125" si="0">+C119-D119</f>
        <v>0</v>
      </c>
    </row>
    <row r="120" spans="2:26" ht="18" customHeight="1" x14ac:dyDescent="0.25">
      <c r="B120" s="27" t="s">
        <v>97</v>
      </c>
      <c r="C120" s="28">
        <f>+'[1]BALANZA G'!C13</f>
        <v>95000</v>
      </c>
      <c r="D120" s="29">
        <f>+'[1]BALANZA G'!D13</f>
        <v>110000</v>
      </c>
      <c r="E120" s="30">
        <f t="shared" si="0"/>
        <v>-15000</v>
      </c>
    </row>
    <row r="121" spans="2:26" ht="18" customHeight="1" x14ac:dyDescent="0.25">
      <c r="B121" s="27" t="s">
        <v>98</v>
      </c>
      <c r="C121" s="28">
        <f>+'[1]BALANZA G'!C23</f>
        <v>1391.2</v>
      </c>
      <c r="D121" s="28">
        <f>IF(+'[1]BALANZA G'!D23&gt;0,+'[1]BALANZA G'!D23,0)</f>
        <v>236.2</v>
      </c>
      <c r="E121" s="30">
        <f t="shared" si="0"/>
        <v>1155</v>
      </c>
    </row>
    <row r="122" spans="2:26" ht="18" customHeight="1" x14ac:dyDescent="0.25">
      <c r="B122" s="31" t="s">
        <v>99</v>
      </c>
      <c r="C122" s="28">
        <f>+'[1]BALANZA G'!C25</f>
        <v>814839.56</v>
      </c>
      <c r="D122" s="28">
        <f>IF(+'[1]BALANZA G'!D25&gt;0,+'[1]BALANZA G'!D25,0)</f>
        <v>2093182.13</v>
      </c>
      <c r="E122" s="32">
        <f t="shared" si="0"/>
        <v>-1278342.5699999998</v>
      </c>
    </row>
    <row r="123" spans="2:26" ht="30" customHeight="1" x14ac:dyDescent="0.25">
      <c r="B123" s="27" t="s">
        <v>100</v>
      </c>
      <c r="C123" s="28">
        <f>+'[1]BALANZA G'!C24</f>
        <v>0</v>
      </c>
      <c r="D123" s="28">
        <f>IF(+'[1]BALANZA G'!D24&gt;0,+'[1]BALANZA G'!D24,0)</f>
        <v>1310.75</v>
      </c>
      <c r="E123" s="30">
        <f t="shared" si="0"/>
        <v>-1310.75</v>
      </c>
    </row>
    <row r="124" spans="2:26" ht="17.25" customHeight="1" x14ac:dyDescent="0.25">
      <c r="B124" s="27" t="s">
        <v>101</v>
      </c>
      <c r="C124" s="28">
        <f>+'[1]BALANZA G'!C26</f>
        <v>331933.27</v>
      </c>
      <c r="D124" s="28">
        <f>+'[1]BALANZA G'!D26</f>
        <v>453230.39</v>
      </c>
      <c r="E124" s="30">
        <f t="shared" si="0"/>
        <v>-121297.12</v>
      </c>
    </row>
    <row r="125" spans="2:26" ht="17.25" customHeight="1" x14ac:dyDescent="0.25">
      <c r="B125" s="33" t="s">
        <v>102</v>
      </c>
      <c r="C125" s="34">
        <f>+'[1]BALANZA G'!C27+'[1]BALANZA G'!C22</f>
        <v>421530269.51999998</v>
      </c>
      <c r="D125" s="28">
        <f>+'[1]BALANZA G'!D27+'[1]BALANZA G'!D22</f>
        <v>302831372.16000003</v>
      </c>
      <c r="E125" s="30">
        <f t="shared" si="0"/>
        <v>118698897.35999995</v>
      </c>
    </row>
    <row r="126" spans="2:26" ht="12.75" hidden="1" customHeight="1" x14ac:dyDescent="0.25">
      <c r="B126" s="33" t="s">
        <v>103</v>
      </c>
      <c r="C126" s="34">
        <f>+'[1]BALANZA G'!C28</f>
        <v>0</v>
      </c>
      <c r="D126" s="28">
        <f>+'[1]BALANZA G'!D28</f>
        <v>0</v>
      </c>
      <c r="E126" s="30"/>
    </row>
    <row r="127" spans="2:26" s="35" customFormat="1" ht="12.75" customHeight="1" x14ac:dyDescent="0.25">
      <c r="B127" s="36" t="s">
        <v>104</v>
      </c>
      <c r="C127" s="37">
        <f>SUM(C119:C126)</f>
        <v>422773433.54999995</v>
      </c>
      <c r="D127" s="37">
        <f>SUM(D119:D126)</f>
        <v>305489331.63000005</v>
      </c>
      <c r="E127" s="38">
        <f>SUM(E119:E123)</f>
        <v>-1293498.3199999998</v>
      </c>
      <c r="J127" s="39"/>
      <c r="K127" s="39"/>
      <c r="N127" s="39"/>
      <c r="R127" s="3" t="str">
        <f>+CONCATENATE(T127,",",U127,",",V127,W127)</f>
        <v>422,773,433.55</v>
      </c>
      <c r="S127" s="3"/>
      <c r="T127" s="3" t="str">
        <f>MID(C127,1,3)</f>
        <v>422</v>
      </c>
      <c r="U127" s="3" t="str">
        <f>MID(C127,4,3)</f>
        <v>773</v>
      </c>
      <c r="V127" s="3" t="str">
        <f>MID(C127,7,3)</f>
        <v>433</v>
      </c>
      <c r="W127" s="3" t="str">
        <f>MID(C127,10,3)</f>
        <v>.55</v>
      </c>
      <c r="X127" s="3"/>
      <c r="Y127" s="40"/>
      <c r="Z127" s="39"/>
    </row>
    <row r="128" spans="2:26" s="35" customFormat="1" x14ac:dyDescent="0.25">
      <c r="B128" s="41"/>
      <c r="C128" s="42">
        <f>+C127-'[1]ES F '!B11</f>
        <v>0</v>
      </c>
      <c r="D128" s="43"/>
      <c r="E128" s="44"/>
      <c r="J128" s="39"/>
      <c r="K128" s="39"/>
      <c r="N128" s="39"/>
      <c r="R128" s="3" t="str">
        <f>+CONCATENATE(T128,",",U128,",",V128,W128)</f>
        <v>305,489,331.63</v>
      </c>
      <c r="S128" s="3"/>
      <c r="T128" s="3" t="str">
        <f>MID(D127,1,3)</f>
        <v>305</v>
      </c>
      <c r="U128" s="3" t="str">
        <f>MID(D127,4,3)</f>
        <v>489</v>
      </c>
      <c r="V128" s="3" t="str">
        <f>MID(D127,7,3)</f>
        <v>331</v>
      </c>
      <c r="W128" s="3" t="str">
        <f>MID(D127,10,3)</f>
        <v>.63</v>
      </c>
      <c r="X128" s="3" t="str">
        <f>MID(E128,7,3)</f>
        <v/>
      </c>
      <c r="Y128" s="3" t="str">
        <f>MID(C128,10,3)</f>
        <v/>
      </c>
      <c r="Z128" s="39"/>
    </row>
    <row r="129" spans="2:26" s="35" customFormat="1" x14ac:dyDescent="0.25">
      <c r="B129" s="284" t="str">
        <f>("Cambio porcentual con relación al "&amp;$D$118&amp;".")</f>
        <v>Cambio porcentual con relación al 2024.</v>
      </c>
      <c r="C129" s="285"/>
      <c r="D129" s="45" t="str">
        <f>IF(E129&gt;=0,"Aumento","Disminución")</f>
        <v>Disminución</v>
      </c>
      <c r="E129" s="46">
        <f>+E127/D127</f>
        <v>-4.2341849160436413E-3</v>
      </c>
      <c r="J129" s="39"/>
      <c r="K129" s="39"/>
      <c r="N129" s="39"/>
      <c r="R129" s="40"/>
      <c r="S129" s="40"/>
      <c r="T129" s="40"/>
      <c r="U129" s="40"/>
      <c r="V129" s="40"/>
      <c r="W129" s="40"/>
      <c r="X129" s="40"/>
      <c r="Y129" s="40"/>
      <c r="Z129" s="39"/>
    </row>
    <row r="130" spans="2:26" s="35" customFormat="1" x14ac:dyDescent="0.25">
      <c r="B130" s="47"/>
      <c r="C130" s="47"/>
      <c r="D130" s="48"/>
      <c r="E130" s="49"/>
      <c r="J130" s="39"/>
      <c r="K130" s="39"/>
      <c r="N130" s="39"/>
      <c r="R130" s="40"/>
      <c r="S130" s="40"/>
      <c r="T130" s="40"/>
      <c r="U130" s="40"/>
      <c r="V130" s="40"/>
      <c r="W130" s="40"/>
      <c r="X130" s="40"/>
      <c r="Y130" s="40"/>
      <c r="Z130" s="39"/>
    </row>
    <row r="131" spans="2:26" s="35" customFormat="1" x14ac:dyDescent="0.25">
      <c r="B131" s="50"/>
      <c r="C131" s="50"/>
      <c r="D131" s="48"/>
      <c r="E131" s="51"/>
      <c r="J131" s="39"/>
      <c r="K131" s="39"/>
      <c r="N131" s="39"/>
      <c r="R131" s="40"/>
      <c r="S131" s="40"/>
      <c r="T131" s="40"/>
      <c r="U131" s="40"/>
      <c r="V131" s="40"/>
      <c r="W131" s="40"/>
      <c r="X131" s="40"/>
      <c r="Y131" s="40"/>
      <c r="Z131" s="39"/>
    </row>
    <row r="132" spans="2:26" s="35" customFormat="1" x14ac:dyDescent="0.25">
      <c r="B132" s="50"/>
      <c r="C132" s="50"/>
      <c r="D132" s="48"/>
      <c r="E132" s="51"/>
      <c r="J132" s="39"/>
      <c r="K132" s="39"/>
      <c r="N132" s="39"/>
      <c r="R132" s="40"/>
      <c r="S132" s="40"/>
      <c r="T132" s="40"/>
      <c r="U132" s="40"/>
      <c r="V132" s="40"/>
      <c r="W132" s="40"/>
      <c r="X132" s="40"/>
      <c r="Y132" s="40"/>
      <c r="Z132" s="39"/>
    </row>
    <row r="133" spans="2:26" s="35" customFormat="1" x14ac:dyDescent="0.25">
      <c r="B133" s="50"/>
      <c r="C133" s="50"/>
      <c r="D133" s="48"/>
      <c r="E133" s="51"/>
      <c r="J133" s="39"/>
      <c r="K133" s="39"/>
      <c r="N133" s="39"/>
      <c r="R133" s="40"/>
      <c r="S133" s="40"/>
      <c r="T133" s="40"/>
      <c r="U133" s="40"/>
      <c r="V133" s="40"/>
      <c r="W133" s="40"/>
      <c r="X133" s="40"/>
      <c r="Y133" s="40"/>
      <c r="Z133" s="39"/>
    </row>
    <row r="134" spans="2:26" s="35" customFormat="1" x14ac:dyDescent="0.25">
      <c r="B134" s="50"/>
      <c r="C134" s="50"/>
      <c r="D134" s="48"/>
      <c r="E134" s="51"/>
      <c r="J134" s="39"/>
      <c r="K134" s="39"/>
      <c r="N134" s="39"/>
      <c r="R134" s="40"/>
      <c r="S134" s="40"/>
      <c r="T134" s="40"/>
      <c r="U134" s="40"/>
      <c r="V134" s="40"/>
      <c r="W134" s="40"/>
      <c r="X134" s="40"/>
      <c r="Y134" s="40"/>
      <c r="Z134" s="39"/>
    </row>
    <row r="135" spans="2:26" hidden="1" x14ac:dyDescent="0.25">
      <c r="B135" s="9" t="s">
        <v>105</v>
      </c>
    </row>
    <row r="136" spans="2:26" hidden="1" x14ac:dyDescent="0.25">
      <c r="B136" s="302" t="s">
        <v>106</v>
      </c>
      <c r="C136" s="302"/>
      <c r="D136" s="302"/>
      <c r="E136" s="302"/>
    </row>
    <row r="137" spans="2:26" ht="23.25" hidden="1" customHeight="1" x14ac:dyDescent="0.25">
      <c r="B137" s="288" t="str">
        <f>("Un detalle del "&amp;B136&amp;" al "&amp;[1]BALANZA!$B$3&amp;" "&amp;[1]BALANZA!$C$3&amp;" es como se detalla a continuación:")</f>
        <v>Un detalle del Inversiones a corto plazo al 31 de Diciembre del 2025 - 2024 es como se detalla a continuación:</v>
      </c>
      <c r="C137" s="289"/>
      <c r="D137" s="289"/>
      <c r="E137" s="289"/>
    </row>
    <row r="138" spans="2:26" ht="45" hidden="1" customHeight="1" x14ac:dyDescent="0.25">
      <c r="B138" s="283" t="str">
        <f>("Las inversiones a corto plazo enta integrado por un certificado financiero en el banco de reservas a un año renobable a la tasa de 0.12% anual, para el "&amp;C140&amp;" el total era de RD$ "&amp;R143&amp;" en vista de que se cancelo y para el "&amp;D140&amp;" el total fue de RD$ "&amp;R144&amp;" , Según el siguiente detalle:")</f>
        <v>Las inversiones a corto plazo enta integrado por un certificado financiero en el banco de reservas a un año renobable a la tasa de 0.12% anual, para el 2025 el total era de RD$ 0.00 en vista de que se cancelo y para el 2024 el total fue de RD$ 0,.00 , Según el siguiente detalle:</v>
      </c>
      <c r="C138" s="283"/>
      <c r="D138" s="283"/>
      <c r="E138" s="283"/>
    </row>
    <row r="139" spans="2:26" hidden="1" x14ac:dyDescent="0.25">
      <c r="B139" s="52"/>
    </row>
    <row r="140" spans="2:26" hidden="1" x14ac:dyDescent="0.25">
      <c r="B140" s="26" t="s">
        <v>94</v>
      </c>
      <c r="C140" s="26">
        <f>+[1]BALANZA!B4</f>
        <v>2025</v>
      </c>
      <c r="D140" s="26">
        <f>+[1]BALANZA!C4</f>
        <v>2024</v>
      </c>
      <c r="E140" s="26" t="s">
        <v>95</v>
      </c>
    </row>
    <row r="141" spans="2:26" hidden="1" x14ac:dyDescent="0.25">
      <c r="B141" s="53" t="s">
        <v>107</v>
      </c>
      <c r="C141" s="54">
        <f>+'[1]BALANZA G'!C15</f>
        <v>80000</v>
      </c>
      <c r="D141" s="55">
        <f>+'[1]BALANZA G'!D15</f>
        <v>80000</v>
      </c>
      <c r="E141" s="56">
        <f>+C141-D141</f>
        <v>0</v>
      </c>
    </row>
    <row r="142" spans="2:26" hidden="1" x14ac:dyDescent="0.25">
      <c r="B142" s="53" t="s">
        <v>108</v>
      </c>
      <c r="C142" s="57">
        <f>+'[1]BALANZA G'!C30</f>
        <v>0</v>
      </c>
      <c r="D142" s="58">
        <f>+'[1]BALANZA G'!D30</f>
        <v>0</v>
      </c>
      <c r="E142" s="59">
        <f>+C142-D142</f>
        <v>0</v>
      </c>
    </row>
    <row r="143" spans="2:26" hidden="1" x14ac:dyDescent="0.25">
      <c r="B143" s="60" t="s">
        <v>109</v>
      </c>
      <c r="C143" s="38">
        <f>SUM(C142:C142)</f>
        <v>0</v>
      </c>
      <c r="D143" s="61">
        <f>SUM(D142:D142)</f>
        <v>0</v>
      </c>
      <c r="E143" s="38">
        <f>SUM(E141:E142)</f>
        <v>0</v>
      </c>
      <c r="R143" s="3" t="str">
        <f>+CONCATENATE(S143,T143,U143,".00")</f>
        <v>0.00</v>
      </c>
      <c r="S143" s="3" t="str">
        <f>MID(C143,1,3)</f>
        <v>0</v>
      </c>
      <c r="T143" s="3" t="str">
        <f>MID(C142,4,3)</f>
        <v/>
      </c>
      <c r="U143" s="3" t="str">
        <f>MID(D142,7,3)</f>
        <v/>
      </c>
    </row>
    <row r="144" spans="2:26" hidden="1" x14ac:dyDescent="0.25">
      <c r="B144" s="62"/>
      <c r="C144" s="63">
        <f>+C143-'[1]ES F '!B12</f>
        <v>0</v>
      </c>
      <c r="D144" s="64"/>
      <c r="E144" s="63"/>
      <c r="R144" s="3" t="str">
        <f>+CONCATENATE(S144,",",T144,U144,".00")</f>
        <v>0,.00</v>
      </c>
      <c r="S144" s="3" t="str">
        <f>MID(D143,1,3)</f>
        <v>0</v>
      </c>
      <c r="T144" s="3" t="str">
        <f>MID(D143,4,3)</f>
        <v/>
      </c>
      <c r="U144" s="3" t="str">
        <f>MID(E143,7,3)</f>
        <v/>
      </c>
    </row>
    <row r="145" spans="1:26" s="35" customFormat="1" hidden="1" x14ac:dyDescent="0.25">
      <c r="B145" s="284" t="str">
        <f>("Cambio porcentual con relación al "&amp;$D$118&amp;".")</f>
        <v>Cambio porcentual con relación al 2024.</v>
      </c>
      <c r="C145" s="285"/>
      <c r="D145" s="65" t="e">
        <f>IF(E145&gt;=0,"Aumento","Disminución")</f>
        <v>#DIV/0!</v>
      </c>
      <c r="E145" s="46" t="e">
        <f>+E143/D143</f>
        <v>#DIV/0!</v>
      </c>
      <c r="J145" s="39"/>
      <c r="K145" s="39"/>
      <c r="N145" s="39"/>
      <c r="R145" s="40"/>
      <c r="S145" s="40"/>
      <c r="T145" s="40"/>
      <c r="U145" s="40"/>
      <c r="V145" s="40"/>
      <c r="W145" s="40"/>
      <c r="X145" s="40"/>
      <c r="Y145" s="40"/>
      <c r="Z145" s="39"/>
    </row>
    <row r="146" spans="1:26" s="35" customFormat="1" x14ac:dyDescent="0.25">
      <c r="B146" s="50"/>
      <c r="C146" s="50"/>
      <c r="D146" s="48"/>
      <c r="E146" s="51"/>
      <c r="J146" s="39"/>
      <c r="K146" s="39"/>
      <c r="N146" s="39"/>
      <c r="R146" s="40"/>
      <c r="S146" s="40"/>
      <c r="T146" s="40"/>
      <c r="U146" s="40"/>
      <c r="V146" s="40"/>
      <c r="W146" s="40"/>
      <c r="X146" s="40"/>
      <c r="Y146" s="40"/>
      <c r="Z146" s="39"/>
    </row>
    <row r="147" spans="1:26" x14ac:dyDescent="0.25">
      <c r="B147" s="52" t="s">
        <v>110</v>
      </c>
    </row>
    <row r="148" spans="1:26" ht="18.75" customHeight="1" x14ac:dyDescent="0.25">
      <c r="B148" s="302" t="s">
        <v>111</v>
      </c>
      <c r="C148" s="302"/>
      <c r="D148" s="302"/>
      <c r="E148" s="302"/>
    </row>
    <row r="149" spans="1:26" ht="36" customHeight="1" x14ac:dyDescent="0.25">
      <c r="B149" s="288" t="str">
        <f>("Un detalle de las "&amp;B148&amp;" al "&amp;[1]BALANZA!$B$3&amp;""&amp;[1]BALANZA!$C$3&amp;" es como se detalla a continuación:")</f>
        <v>Un detalle de las Cuentas por cobrar a corto plazo al 31 de Diciembre del 2025- 2024 es como se detalla a continuación:</v>
      </c>
      <c r="C149" s="289"/>
      <c r="D149" s="289"/>
      <c r="E149" s="289"/>
      <c r="L149" s="1" t="s">
        <v>112</v>
      </c>
    </row>
    <row r="150" spans="1:26" ht="51" customHeight="1" x14ac:dyDescent="0.25">
      <c r="A150" s="66"/>
      <c r="B150" s="300" t="str">
        <f>("Las Cuentas por cobrar  están representados por las partidas  Cuentas por cobrar Empleados, Para el "&amp;C151&amp;" el monto total de estas partidas fue por RD$ "&amp;R154&amp;" y para el "&amp;D151&amp;" el monto era RD$ "&amp;R155&amp;"  ,   de Según el siguiente detalle:")</f>
        <v>Las Cuentas por cobrar  están representados por las partidas  Cuentas por cobrar Empleados, Para el 2025 el monto total de estas partidas fue por RD$ 0.00 y para el 2024 el monto era RD$ 1,350.12  ,   de Según el siguiente detalle:</v>
      </c>
      <c r="C150" s="300"/>
      <c r="D150" s="300"/>
      <c r="E150" s="300"/>
    </row>
    <row r="151" spans="1:26" x14ac:dyDescent="0.25">
      <c r="B151" s="23" t="s">
        <v>94</v>
      </c>
      <c r="C151" s="23">
        <f>+C371</f>
        <v>2025</v>
      </c>
      <c r="D151" s="23">
        <f>+D371</f>
        <v>2024</v>
      </c>
      <c r="E151" s="23" t="s">
        <v>95</v>
      </c>
    </row>
    <row r="152" spans="1:26" ht="17.25" hidden="1" customHeight="1" x14ac:dyDescent="0.25">
      <c r="B152" s="31" t="s">
        <v>113</v>
      </c>
      <c r="C152" s="67">
        <f>+'[1]BALANZA G'!C34-C153</f>
        <v>0</v>
      </c>
      <c r="D152" s="68">
        <v>0</v>
      </c>
      <c r="E152" s="69">
        <f>+C152-D152</f>
        <v>0</v>
      </c>
    </row>
    <row r="153" spans="1:26" x14ac:dyDescent="0.25">
      <c r="B153" s="31" t="s">
        <v>114</v>
      </c>
      <c r="C153" s="70">
        <f>+'[1]BALANZA G'!C35-1350.12</f>
        <v>0</v>
      </c>
      <c r="D153" s="29">
        <f>+'[1]BALANZA G'!D35</f>
        <v>1350.12</v>
      </c>
      <c r="E153" s="69">
        <f>+C153-D153</f>
        <v>-1350.12</v>
      </c>
    </row>
    <row r="154" spans="1:26" x14ac:dyDescent="0.25">
      <c r="B154" s="71" t="s">
        <v>115</v>
      </c>
      <c r="C154" s="37">
        <f>SUM(C152:C153)</f>
        <v>0</v>
      </c>
      <c r="D154" s="37">
        <f>SUM(D152:D153)</f>
        <v>1350.12</v>
      </c>
      <c r="E154" s="37">
        <f>SUM(E152:E153)</f>
        <v>-1350.12</v>
      </c>
      <c r="R154" s="3" t="str">
        <f>+CONCATENATE(S154,".00",T154,U154,"")</f>
        <v>0.00</v>
      </c>
      <c r="S154" s="3" t="str">
        <f>MID(C154,1,1)</f>
        <v>0</v>
      </c>
      <c r="T154" s="3" t="str">
        <f>MID(C154,2,3)</f>
        <v/>
      </c>
      <c r="U154" s="3" t="str">
        <f>MID(C154,5,3)</f>
        <v/>
      </c>
      <c r="V154" s="3" t="str">
        <f>MID(C154,9,3)</f>
        <v/>
      </c>
    </row>
    <row r="155" spans="1:26" x14ac:dyDescent="0.25">
      <c r="B155" s="72"/>
      <c r="C155" s="73"/>
      <c r="D155" s="74"/>
      <c r="E155" s="75"/>
      <c r="R155" s="3" t="str">
        <f>+CONCATENATE(S155,",",T155,U155,V155,"2")</f>
        <v>1,350.12</v>
      </c>
      <c r="S155" s="3" t="str">
        <f>MID(D154,1,1)</f>
        <v>1</v>
      </c>
      <c r="T155" s="3" t="str">
        <f>MID(D154,2,3)</f>
        <v>350</v>
      </c>
      <c r="U155" s="3" t="str">
        <f>MID(D154,5,2)</f>
        <v>.1</v>
      </c>
    </row>
    <row r="156" spans="1:26" s="35" customFormat="1" x14ac:dyDescent="0.25">
      <c r="B156" s="284" t="str">
        <f>("Cambio porcentual con relación al "&amp;$D$118&amp;".")</f>
        <v>Cambio porcentual con relación al 2024.</v>
      </c>
      <c r="C156" s="285"/>
      <c r="D156" s="45" t="str">
        <f>IF(E156&gt;=0,"Aumento","Disminución")</f>
        <v>Disminución</v>
      </c>
      <c r="E156" s="76">
        <f>IFERROR(+E154/D154,0)</f>
        <v>-1</v>
      </c>
      <c r="J156" s="39"/>
      <c r="K156" s="39"/>
      <c r="N156" s="39"/>
      <c r="R156" s="40"/>
      <c r="S156" s="40"/>
      <c r="T156" s="40"/>
      <c r="U156" s="40"/>
      <c r="V156" s="40"/>
      <c r="W156" s="40"/>
      <c r="X156" s="40"/>
      <c r="Y156" s="40"/>
      <c r="Z156" s="39"/>
    </row>
    <row r="157" spans="1:26" ht="9" customHeight="1" x14ac:dyDescent="0.25">
      <c r="B157" s="77"/>
    </row>
    <row r="158" spans="1:26" ht="80.25" customHeight="1" x14ac:dyDescent="0.25">
      <c r="B158" s="301" t="s">
        <v>116</v>
      </c>
      <c r="C158" s="301"/>
      <c r="D158" s="301"/>
      <c r="E158" s="301"/>
    </row>
    <row r="159" spans="1:26" x14ac:dyDescent="0.25">
      <c r="B159" s="77"/>
    </row>
    <row r="160" spans="1:26" x14ac:dyDescent="0.25">
      <c r="B160" s="302" t="s">
        <v>117</v>
      </c>
      <c r="C160" s="302"/>
      <c r="D160" s="302"/>
      <c r="E160" s="302"/>
    </row>
    <row r="161" spans="2:26" x14ac:dyDescent="0.25">
      <c r="B161" s="302" t="s">
        <v>118</v>
      </c>
      <c r="C161" s="302"/>
      <c r="D161" s="302"/>
      <c r="E161" s="302"/>
    </row>
    <row r="162" spans="2:26" ht="18.75" customHeight="1" x14ac:dyDescent="0.25">
      <c r="B162" s="288" t="str">
        <f>("Un detalle de las "&amp;B161&amp;" al "&amp;[1]BALANZA!$B$3&amp;""&amp;[1]BALANZA!$C$3&amp;" es como se detalla a continuación:")</f>
        <v>Un detalle de las Inventario al 31 de Diciembre del 2025- 2024 es como se detalla a continuación:</v>
      </c>
      <c r="C162" s="289"/>
      <c r="D162" s="289"/>
      <c r="E162" s="289"/>
    </row>
    <row r="163" spans="2:26" ht="36" customHeight="1" x14ac:dyDescent="0.25">
      <c r="B163" s="283" t="str">
        <f>("Los  inventarios están representados por las partidas de materiales en existencia, Para el "&amp;[1]BALANZA!B4&amp;" RD$ "&amp;R168&amp;" y para el "&amp;[1]BALANZA!C4&amp;" RD$ "&amp;R169&amp;", Según el siguiente detalle:")</f>
        <v>Los  inventarios están representados por las partidas de materiales en existencia, Para el 2025 RD$ 15,776,376.33 y para el 2024 RD$ 18,382,280.28, Según el siguiente detalle:</v>
      </c>
      <c r="C163" s="283"/>
      <c r="D163" s="283"/>
      <c r="E163" s="283"/>
    </row>
    <row r="164" spans="2:26" ht="7.5" customHeight="1" x14ac:dyDescent="0.25">
      <c r="B164" s="77"/>
    </row>
    <row r="165" spans="2:26" x14ac:dyDescent="0.25">
      <c r="B165" s="23" t="s">
        <v>94</v>
      </c>
      <c r="C165" s="23">
        <f>+C371</f>
        <v>2025</v>
      </c>
      <c r="D165" s="23">
        <f>+D371</f>
        <v>2024</v>
      </c>
      <c r="E165" s="23" t="s">
        <v>95</v>
      </c>
    </row>
    <row r="166" spans="2:26" hidden="1" x14ac:dyDescent="0.25">
      <c r="B166" s="31" t="s">
        <v>107</v>
      </c>
      <c r="C166" s="70">
        <f>+'[1]BALANZA G'!C40</f>
        <v>0</v>
      </c>
      <c r="D166" s="29">
        <f>+'[1]BALANZA G'!D40</f>
        <v>0</v>
      </c>
      <c r="E166" s="78">
        <f>+C166-D166</f>
        <v>0</v>
      </c>
    </row>
    <row r="167" spans="2:26" ht="30" x14ac:dyDescent="0.25">
      <c r="B167" s="31" t="s">
        <v>119</v>
      </c>
      <c r="C167" s="70">
        <f>+'[1]BALANZA G'!C41</f>
        <v>15776376.33</v>
      </c>
      <c r="D167" s="79">
        <f>+'[1]BALANZA G'!D41</f>
        <v>18382280.280000001</v>
      </c>
      <c r="E167" s="80">
        <f>+C167-D167</f>
        <v>-2605903.9500000011</v>
      </c>
    </row>
    <row r="168" spans="2:26" x14ac:dyDescent="0.25">
      <c r="B168" s="71" t="s">
        <v>120</v>
      </c>
      <c r="C168" s="37">
        <f>SUM(C166:C167)</f>
        <v>15776376.33</v>
      </c>
      <c r="D168" s="81">
        <f>SUM(D166:D167)</f>
        <v>18382280.280000001</v>
      </c>
      <c r="E168" s="37">
        <f>SUM(E166:E167)</f>
        <v>-2605903.9500000011</v>
      </c>
      <c r="R168" s="3" t="str">
        <f>+CONCATENATE(S168,",",T168,",",U168,V168,AB168,"")</f>
        <v>15,776,376.33</v>
      </c>
      <c r="S168" s="3" t="str">
        <f>MID(C168,1,2)</f>
        <v>15</v>
      </c>
      <c r="T168" s="3" t="str">
        <f>MID(C168,3,3)</f>
        <v>776</v>
      </c>
      <c r="U168" s="3" t="str">
        <f>MID(C168,6,3)</f>
        <v>376</v>
      </c>
      <c r="V168" s="3" t="str">
        <f>MID(C168,9,3)</f>
        <v>.33</v>
      </c>
    </row>
    <row r="169" spans="2:26" x14ac:dyDescent="0.25">
      <c r="B169" s="72"/>
      <c r="C169" s="82">
        <f>+C168-'[1]ES F '!B15</f>
        <v>0</v>
      </c>
      <c r="D169" s="74"/>
      <c r="E169" s="75"/>
      <c r="R169" s="3" t="str">
        <f>+CONCATENATE(S169,",",T169,",",U169,V169,"")</f>
        <v>18,382,280.28</v>
      </c>
      <c r="S169" s="3" t="str">
        <f>MID(D168,1,2)</f>
        <v>18</v>
      </c>
      <c r="T169" s="3" t="str">
        <f>MID(D168,3,3)</f>
        <v>382</v>
      </c>
      <c r="U169" s="3" t="str">
        <f>MID(D168,6,3)</f>
        <v>280</v>
      </c>
      <c r="V169" s="3" t="str">
        <f>MID(D168,9,3)</f>
        <v>.28</v>
      </c>
    </row>
    <row r="170" spans="2:26" s="35" customFormat="1" x14ac:dyDescent="0.25">
      <c r="B170" s="284" t="str">
        <f>("Cambio porcentual con relación al "&amp;$D$118&amp;".")</f>
        <v>Cambio porcentual con relación al 2024.</v>
      </c>
      <c r="C170" s="285"/>
      <c r="D170" s="45" t="str">
        <f>IF(E170&gt;=0,"Aumento","Disminución")</f>
        <v>Disminución</v>
      </c>
      <c r="E170" s="76">
        <f>IFERROR((+E168/D168),0)</f>
        <v>-0.14176173523125069</v>
      </c>
      <c r="J170" s="39"/>
      <c r="K170" s="39"/>
      <c r="N170" s="39"/>
      <c r="R170" s="40"/>
      <c r="S170" s="40"/>
      <c r="T170" s="40"/>
      <c r="U170" s="40"/>
      <c r="V170" s="40"/>
      <c r="W170" s="40"/>
      <c r="X170" s="40"/>
      <c r="Y170" s="40"/>
      <c r="Z170" s="39"/>
    </row>
    <row r="171" spans="2:26" s="35" customFormat="1" x14ac:dyDescent="0.25">
      <c r="B171" s="47"/>
      <c r="C171" s="47"/>
      <c r="D171" s="48"/>
      <c r="E171" s="51"/>
      <c r="J171" s="39"/>
      <c r="K171" s="39"/>
      <c r="N171" s="39"/>
      <c r="R171" s="40"/>
      <c r="S171" s="40"/>
      <c r="T171" s="40"/>
      <c r="U171" s="40"/>
      <c r="V171" s="40"/>
      <c r="W171" s="40"/>
      <c r="X171" s="40"/>
      <c r="Y171" s="40"/>
      <c r="Z171" s="39"/>
    </row>
    <row r="172" spans="2:26" s="35" customFormat="1" x14ac:dyDescent="0.25">
      <c r="B172" s="47"/>
      <c r="C172" s="47"/>
      <c r="D172" s="48"/>
      <c r="E172" s="51"/>
      <c r="J172" s="39"/>
      <c r="K172" s="39"/>
      <c r="N172" s="39"/>
      <c r="R172" s="40"/>
      <c r="S172" s="40"/>
      <c r="T172" s="40"/>
      <c r="U172" s="40"/>
      <c r="V172" s="40"/>
      <c r="W172" s="40"/>
      <c r="X172" s="40"/>
      <c r="Y172" s="40"/>
      <c r="Z172" s="39"/>
    </row>
    <row r="173" spans="2:26" s="35" customFormat="1" x14ac:dyDescent="0.25">
      <c r="B173" s="47"/>
      <c r="C173" s="47"/>
      <c r="D173" s="48"/>
      <c r="E173" s="51"/>
      <c r="J173" s="39"/>
      <c r="K173" s="39"/>
      <c r="N173" s="39"/>
      <c r="R173" s="40"/>
      <c r="S173" s="40"/>
      <c r="T173" s="40"/>
      <c r="U173" s="40"/>
      <c r="V173" s="40"/>
      <c r="W173" s="40"/>
      <c r="X173" s="40"/>
      <c r="Y173" s="40"/>
      <c r="Z173" s="39"/>
    </row>
    <row r="174" spans="2:26" s="35" customFormat="1" x14ac:dyDescent="0.25">
      <c r="B174" s="47"/>
      <c r="C174" s="47"/>
      <c r="D174" s="48"/>
      <c r="E174" s="51"/>
      <c r="J174" s="39"/>
      <c r="K174" s="39"/>
      <c r="N174" s="39"/>
      <c r="R174" s="40"/>
      <c r="S174" s="40"/>
      <c r="T174" s="40"/>
      <c r="U174" s="40"/>
      <c r="V174" s="40"/>
      <c r="W174" s="40"/>
      <c r="X174" s="40"/>
      <c r="Y174" s="40"/>
      <c r="Z174" s="39"/>
    </row>
    <row r="175" spans="2:26" s="35" customFormat="1" x14ac:dyDescent="0.25">
      <c r="B175" s="47"/>
      <c r="C175" s="47"/>
      <c r="D175" s="48"/>
      <c r="E175" s="51"/>
      <c r="J175" s="39"/>
      <c r="K175" s="39"/>
      <c r="N175" s="39"/>
      <c r="R175" s="40"/>
      <c r="S175" s="40"/>
      <c r="T175" s="40"/>
      <c r="U175" s="40"/>
      <c r="V175" s="40"/>
      <c r="W175" s="40"/>
      <c r="X175" s="40"/>
      <c r="Y175" s="40"/>
      <c r="Z175" s="39"/>
    </row>
    <row r="176" spans="2:26" s="35" customFormat="1" x14ac:dyDescent="0.25">
      <c r="B176" s="47"/>
      <c r="C176" s="47"/>
      <c r="D176" s="48"/>
      <c r="E176" s="51"/>
      <c r="J176" s="39"/>
      <c r="K176" s="39"/>
      <c r="N176" s="39"/>
      <c r="R176" s="40"/>
      <c r="S176" s="40"/>
      <c r="T176" s="40"/>
      <c r="U176" s="40"/>
      <c r="V176" s="40"/>
      <c r="W176" s="40"/>
      <c r="X176" s="40"/>
      <c r="Y176" s="40"/>
      <c r="Z176" s="39"/>
    </row>
    <row r="177" spans="2:26" s="35" customFormat="1" x14ac:dyDescent="0.25">
      <c r="B177" s="47"/>
      <c r="C177" s="47"/>
      <c r="D177" s="48"/>
      <c r="E177" s="51"/>
      <c r="J177" s="39"/>
      <c r="K177" s="39"/>
      <c r="N177" s="39"/>
      <c r="R177" s="40"/>
      <c r="S177" s="40"/>
      <c r="T177" s="40"/>
      <c r="U177" s="40"/>
      <c r="V177" s="40"/>
      <c r="W177" s="40"/>
      <c r="X177" s="40"/>
      <c r="Y177" s="40"/>
      <c r="Z177" s="39"/>
    </row>
    <row r="178" spans="2:26" s="35" customFormat="1" x14ac:dyDescent="0.25">
      <c r="B178" s="47"/>
      <c r="C178" s="47"/>
      <c r="D178" s="48"/>
      <c r="E178" s="51"/>
      <c r="J178" s="39"/>
      <c r="K178" s="39"/>
      <c r="N178" s="39"/>
      <c r="R178" s="40"/>
      <c r="S178" s="40"/>
      <c r="T178" s="40"/>
      <c r="U178" s="40"/>
      <c r="V178" s="40"/>
      <c r="W178" s="40"/>
      <c r="X178" s="40"/>
      <c r="Y178" s="40"/>
      <c r="Z178" s="39"/>
    </row>
    <row r="179" spans="2:26" s="35" customFormat="1" x14ac:dyDescent="0.25">
      <c r="B179" s="47"/>
      <c r="C179" s="47"/>
      <c r="D179" s="48"/>
      <c r="E179" s="51"/>
      <c r="J179" s="39"/>
      <c r="K179" s="39"/>
      <c r="N179" s="39"/>
      <c r="R179" s="40"/>
      <c r="S179" s="40"/>
      <c r="T179" s="40"/>
      <c r="U179" s="40"/>
      <c r="V179" s="40"/>
      <c r="W179" s="40"/>
      <c r="X179" s="40"/>
      <c r="Y179" s="40"/>
      <c r="Z179" s="39"/>
    </row>
    <row r="180" spans="2:26" s="35" customFormat="1" x14ac:dyDescent="0.25">
      <c r="B180" s="47"/>
      <c r="C180" s="47"/>
      <c r="D180" s="48"/>
      <c r="E180" s="51"/>
      <c r="J180" s="39"/>
      <c r="K180" s="39"/>
      <c r="N180" s="39"/>
      <c r="R180" s="40"/>
      <c r="S180" s="40"/>
      <c r="T180" s="40"/>
      <c r="U180" s="40"/>
      <c r="V180" s="40"/>
      <c r="W180" s="40"/>
      <c r="X180" s="40"/>
      <c r="Y180" s="40"/>
      <c r="Z180" s="39"/>
    </row>
    <row r="181" spans="2:26" s="35" customFormat="1" x14ac:dyDescent="0.25">
      <c r="B181" s="47"/>
      <c r="C181" s="47"/>
      <c r="D181" s="48"/>
      <c r="E181" s="51"/>
      <c r="J181" s="39"/>
      <c r="K181" s="39"/>
      <c r="N181" s="39"/>
      <c r="R181" s="40"/>
      <c r="S181" s="40"/>
      <c r="T181" s="40"/>
      <c r="U181" s="40"/>
      <c r="V181" s="40"/>
      <c r="W181" s="40"/>
      <c r="X181" s="40"/>
      <c r="Y181" s="40"/>
      <c r="Z181" s="39"/>
    </row>
    <row r="182" spans="2:26" s="35" customFormat="1" x14ac:dyDescent="0.25">
      <c r="B182" s="47"/>
      <c r="C182" s="47"/>
      <c r="D182" s="48"/>
      <c r="E182" s="51"/>
      <c r="J182" s="39"/>
      <c r="K182" s="39"/>
      <c r="N182" s="39"/>
      <c r="R182" s="40"/>
      <c r="S182" s="40"/>
      <c r="T182" s="40"/>
      <c r="U182" s="40"/>
      <c r="V182" s="40"/>
      <c r="W182" s="40"/>
      <c r="X182" s="40"/>
      <c r="Y182" s="40"/>
      <c r="Z182" s="39"/>
    </row>
    <row r="183" spans="2:26" s="35" customFormat="1" x14ac:dyDescent="0.25">
      <c r="B183" s="47"/>
      <c r="C183" s="47"/>
      <c r="D183" s="48"/>
      <c r="E183" s="51"/>
      <c r="J183" s="39"/>
      <c r="K183" s="39"/>
      <c r="N183" s="39"/>
      <c r="R183" s="40"/>
      <c r="S183" s="40"/>
      <c r="T183" s="40"/>
      <c r="U183" s="40"/>
      <c r="V183" s="40"/>
      <c r="W183" s="40"/>
      <c r="X183" s="40"/>
      <c r="Y183" s="40"/>
      <c r="Z183" s="39"/>
    </row>
    <row r="184" spans="2:26" x14ac:dyDescent="0.25">
      <c r="B184" s="77"/>
    </row>
    <row r="185" spans="2:26" ht="16.5" customHeight="1" x14ac:dyDescent="0.25">
      <c r="B185" s="283"/>
      <c r="C185" s="283"/>
      <c r="D185" s="283"/>
      <c r="E185" s="283"/>
    </row>
    <row r="186" spans="2:26" ht="16.5" customHeight="1" x14ac:dyDescent="0.25">
      <c r="B186" s="12"/>
      <c r="C186" s="12"/>
      <c r="D186" s="12"/>
      <c r="E186" s="12"/>
    </row>
    <row r="187" spans="2:26" ht="16.5" customHeight="1" x14ac:dyDescent="0.25">
      <c r="B187" s="12"/>
      <c r="C187" s="12"/>
      <c r="D187" s="12"/>
      <c r="E187" s="12"/>
    </row>
    <row r="188" spans="2:26" ht="16.5" customHeight="1" x14ac:dyDescent="0.25">
      <c r="B188" s="12"/>
      <c r="C188" s="12"/>
      <c r="D188" s="12"/>
      <c r="E188" s="12"/>
    </row>
    <row r="189" spans="2:26" ht="16.5" customHeight="1" x14ac:dyDescent="0.25">
      <c r="B189" s="52" t="s">
        <v>121</v>
      </c>
      <c r="C189" s="12"/>
      <c r="D189" s="83"/>
      <c r="E189" s="12"/>
    </row>
    <row r="190" spans="2:26" ht="16.5" customHeight="1" x14ac:dyDescent="0.25">
      <c r="B190" s="52" t="s">
        <v>122</v>
      </c>
      <c r="C190" s="12"/>
      <c r="D190" s="83"/>
      <c r="E190" s="12"/>
    </row>
    <row r="191" spans="2:26" ht="27.75" customHeight="1" x14ac:dyDescent="0.25">
      <c r="B191" s="288" t="str">
        <f>("Un detalle del "&amp;B190&amp;" al "&amp;[1]BALANZA!$B$3&amp;" "&amp;[1]BALANZA!$C$3&amp;" es como se detalla a continuación:")</f>
        <v>Un detalle del Pagos anticipados al 31 de Diciembre del 2025 - 2024 es como se detalla a continuación:</v>
      </c>
      <c r="C191" s="289"/>
      <c r="D191" s="289"/>
      <c r="E191" s="289"/>
    </row>
    <row r="192" spans="2:26" ht="41.25" customHeight="1" x14ac:dyDescent="0.25">
      <c r="B192" s="283" t="str">
        <f>("Los  pagos anticipados están representados por las partidas de seguros pagados por adelantado, Para el "&amp;[1]BALANZA!B4&amp;" el monto ascendio  a RD$ "&amp;R200&amp;" y para el "&amp;[1]BALANZA!C4&amp;" el monto era RD$ "&amp;R201&amp;", Según el siguiente detalle:")</f>
        <v>Los  pagos anticipados están representados por las partidas de seguros pagados por adelantado, Para el 2025 el monto ascendio  a RD$ 488,548.94 y para el 2024 el monto era RD$ 422,306.74, Según el siguiente detalle:</v>
      </c>
      <c r="C192" s="283"/>
      <c r="D192" s="283"/>
      <c r="E192" s="283"/>
    </row>
    <row r="193" spans="2:26" x14ac:dyDescent="0.25">
      <c r="B193" s="77"/>
    </row>
    <row r="194" spans="2:26" x14ac:dyDescent="0.25">
      <c r="B194" s="23" t="s">
        <v>94</v>
      </c>
      <c r="C194" s="26">
        <f>+C165</f>
        <v>2025</v>
      </c>
      <c r="D194" s="26">
        <f>+D165</f>
        <v>2024</v>
      </c>
      <c r="E194" s="23" t="s">
        <v>95</v>
      </c>
    </row>
    <row r="195" spans="2:26" ht="15" customHeight="1" x14ac:dyDescent="0.25">
      <c r="B195" s="31" t="s">
        <v>123</v>
      </c>
      <c r="C195" s="70">
        <f>+D199</f>
        <v>422306.74</v>
      </c>
      <c r="D195" s="29">
        <f>+D199-D197-D196</f>
        <v>841536.45</v>
      </c>
      <c r="E195" s="69">
        <f>+C195-D195</f>
        <v>-419229.70999999996</v>
      </c>
    </row>
    <row r="196" spans="2:26" ht="15" customHeight="1" x14ac:dyDescent="0.25">
      <c r="B196" s="31" t="s">
        <v>124</v>
      </c>
      <c r="C196" s="84">
        <f>+C199-C195-C197</f>
        <v>722921.14999999991</v>
      </c>
      <c r="D196" s="29">
        <f>205890.43+32007.08</f>
        <v>237897.51</v>
      </c>
      <c r="E196" s="69">
        <f>+C196-D196</f>
        <v>485023.6399999999</v>
      </c>
    </row>
    <row r="197" spans="2:26" ht="15" customHeight="1" x14ac:dyDescent="0.25">
      <c r="B197" s="31" t="s">
        <v>125</v>
      </c>
      <c r="C197" s="85">
        <f>-'[1]Notas NF'!C609</f>
        <v>-656678.94999999995</v>
      </c>
      <c r="D197" s="85">
        <f>-'[1]Notas NF'!D609</f>
        <v>-657127.22</v>
      </c>
      <c r="E197" s="69">
        <f>+C197-D197</f>
        <v>448.27000000001863</v>
      </c>
      <c r="U197" s="86"/>
    </row>
    <row r="198" spans="2:26" ht="15" customHeight="1" x14ac:dyDescent="0.25">
      <c r="B198" s="31"/>
      <c r="C198" s="70"/>
      <c r="D198" s="70"/>
      <c r="E198" s="69"/>
    </row>
    <row r="199" spans="2:26" x14ac:dyDescent="0.25">
      <c r="B199" s="31" t="s">
        <v>126</v>
      </c>
      <c r="C199" s="70">
        <f>+'[1]BALANZA G'!C48</f>
        <v>488548.94</v>
      </c>
      <c r="D199" s="79">
        <f>+'[1]BALANZA G'!D48</f>
        <v>422306.74</v>
      </c>
      <c r="E199" s="69">
        <f>+C199-D199</f>
        <v>66242.200000000012</v>
      </c>
    </row>
    <row r="200" spans="2:26" x14ac:dyDescent="0.25">
      <c r="B200" s="71" t="s">
        <v>127</v>
      </c>
      <c r="C200" s="37">
        <f>SUM(C199:C199)</f>
        <v>488548.94</v>
      </c>
      <c r="D200" s="37">
        <f>SUM(D199:D199)</f>
        <v>422306.74</v>
      </c>
      <c r="E200" s="87">
        <f>+C200-D200</f>
        <v>66242.200000000012</v>
      </c>
      <c r="R200" s="3" t="str">
        <f>+CONCATENATE(S200,",",T200,U200,"")</f>
        <v>488,548.94</v>
      </c>
      <c r="S200" s="3" t="str">
        <f>MID(C200,1,3)</f>
        <v>488</v>
      </c>
      <c r="T200" s="3" t="str">
        <f>MID(C200,4,3)</f>
        <v>548</v>
      </c>
      <c r="U200" s="3" t="str">
        <f>MID(C200,7,3)</f>
        <v>.94</v>
      </c>
    </row>
    <row r="201" spans="2:26" x14ac:dyDescent="0.25">
      <c r="B201" s="88"/>
      <c r="C201" s="89">
        <f>+C200-'[1]ES F '!B16</f>
        <v>0</v>
      </c>
      <c r="D201" s="90"/>
      <c r="E201" s="91"/>
      <c r="R201" s="3" t="str">
        <f>+CONCATENATE(S201,",",T201,U201)</f>
        <v>422,306.74</v>
      </c>
      <c r="S201" s="3" t="str">
        <f>MID(D200,1,3)</f>
        <v>422</v>
      </c>
      <c r="T201" s="3" t="str">
        <f>MID(D200,4,3)</f>
        <v>306</v>
      </c>
      <c r="U201" s="3" t="str">
        <f>MID(D200,7,3)</f>
        <v>.74</v>
      </c>
    </row>
    <row r="202" spans="2:26" s="35" customFormat="1" x14ac:dyDescent="0.25">
      <c r="B202" s="284" t="str">
        <f>("Cambio porcentual con relación al "&amp;$D$118&amp;".")</f>
        <v>Cambio porcentual con relación al 2024.</v>
      </c>
      <c r="C202" s="285"/>
      <c r="D202" s="45" t="str">
        <f>IF(E202&gt;=0,"Aumento","Disminución")</f>
        <v>Aumento</v>
      </c>
      <c r="E202" s="76">
        <f>IFERROR((+E200/D200),0)</f>
        <v>0.15685802220442896</v>
      </c>
      <c r="J202" s="39"/>
      <c r="K202" s="39"/>
      <c r="N202" s="39"/>
      <c r="R202" s="40"/>
      <c r="S202" s="40"/>
      <c r="T202" s="40"/>
      <c r="U202" s="40"/>
      <c r="V202" s="40"/>
      <c r="W202" s="40"/>
      <c r="X202" s="40"/>
      <c r="Y202" s="40"/>
      <c r="Z202" s="39"/>
    </row>
    <row r="203" spans="2:26" ht="16.5" customHeight="1" x14ac:dyDescent="0.25">
      <c r="B203" s="52"/>
      <c r="C203" s="12"/>
      <c r="D203" s="83"/>
      <c r="E203" s="12"/>
    </row>
    <row r="204" spans="2:26" ht="16.5" customHeight="1" x14ac:dyDescent="0.25">
      <c r="B204" s="52"/>
      <c r="C204" s="92"/>
      <c r="D204" s="83"/>
      <c r="E204" s="12"/>
    </row>
    <row r="205" spans="2:26" ht="14.25" customHeight="1" x14ac:dyDescent="0.25">
      <c r="B205" s="52" t="s">
        <v>128</v>
      </c>
      <c r="C205" s="92"/>
      <c r="D205" s="83"/>
      <c r="E205" s="12"/>
    </row>
    <row r="206" spans="2:26" x14ac:dyDescent="0.25">
      <c r="B206" s="52" t="s">
        <v>129</v>
      </c>
    </row>
    <row r="207" spans="2:26" ht="28.5" customHeight="1" x14ac:dyDescent="0.25">
      <c r="B207" s="288" t="str">
        <f>("Un detalle de "&amp;B206&amp;" al "&amp;[1]BALANZA!$B$3&amp;" "&amp;[1]BALANZA!$C$3&amp;" es como se detalla a continuación:")</f>
        <v>Un detalle de Otros activos corrientes al 31 de Diciembre del 2025 - 2024 es como se detalla a continuación:</v>
      </c>
      <c r="C207" s="289"/>
      <c r="D207" s="289"/>
      <c r="E207" s="289"/>
    </row>
    <row r="208" spans="2:26" ht="49.5" customHeight="1" x14ac:dyDescent="0.25">
      <c r="B208" s="283" t="str">
        <f>("Los depósitos o fianzas por los alquileres de locales de CORAAMOCA, vigentes, están registrado en el Estado de Balance General, dentro  de la partida de otros activos, en  periodos "&amp;[1]BALANZA!B4&amp;" el valor estaba en RD$ "&amp;R226&amp;".  Según detalles:")</f>
        <v>Los depósitos o fianzas por los alquileres de locales de CORAAMOCA, vigentes, están registrado en el Estado de Balance General, dentro  de la partida de otros activos, en  periodos 2025 el valor estaba en RD$ 0.00.  Según detalles:</v>
      </c>
      <c r="C208" s="283"/>
      <c r="D208" s="283"/>
      <c r="E208" s="283"/>
    </row>
    <row r="209" spans="2:26" ht="37.5" customHeight="1" x14ac:dyDescent="0.25">
      <c r="B209" s="283" t="s">
        <v>130</v>
      </c>
      <c r="C209" s="283"/>
      <c r="D209" s="283"/>
      <c r="E209" s="283"/>
    </row>
    <row r="210" spans="2:26" ht="14.25" customHeight="1" x14ac:dyDescent="0.25">
      <c r="B210" s="93"/>
    </row>
    <row r="211" spans="2:26" s="94" customFormat="1" ht="19.5" hidden="1" customHeight="1" x14ac:dyDescent="0.25">
      <c r="B211" s="23" t="s">
        <v>131</v>
      </c>
      <c r="C211" s="23" t="s">
        <v>132</v>
      </c>
      <c r="D211" s="95" t="s">
        <v>133</v>
      </c>
      <c r="E211" s="24" t="s">
        <v>134</v>
      </c>
      <c r="J211" s="96"/>
      <c r="K211" s="96"/>
      <c r="N211" s="96"/>
      <c r="R211" s="97"/>
      <c r="S211" s="97"/>
      <c r="T211" s="97"/>
      <c r="U211" s="97"/>
      <c r="V211" s="97"/>
      <c r="W211" s="97"/>
      <c r="X211" s="97"/>
      <c r="Y211" s="97"/>
      <c r="Z211" s="96"/>
    </row>
    <row r="212" spans="2:26" hidden="1" x14ac:dyDescent="0.25">
      <c r="B212" s="98" t="s">
        <v>135</v>
      </c>
      <c r="C212" s="99" t="s">
        <v>136</v>
      </c>
      <c r="D212" s="100">
        <v>12000</v>
      </c>
      <c r="E212" s="101">
        <f>+D212</f>
        <v>12000</v>
      </c>
    </row>
    <row r="213" spans="2:26" hidden="1" x14ac:dyDescent="0.25">
      <c r="B213" s="98" t="s">
        <v>137</v>
      </c>
      <c r="C213" s="99" t="s">
        <v>138</v>
      </c>
      <c r="D213" s="100">
        <v>21000</v>
      </c>
      <c r="E213" s="101">
        <f t="shared" ref="E213:E220" si="1">+D213</f>
        <v>21000</v>
      </c>
    </row>
    <row r="214" spans="2:26" hidden="1" x14ac:dyDescent="0.25">
      <c r="B214" s="98" t="s">
        <v>139</v>
      </c>
      <c r="C214" s="99" t="s">
        <v>140</v>
      </c>
      <c r="D214" s="100">
        <v>28500</v>
      </c>
      <c r="E214" s="101">
        <f t="shared" si="1"/>
        <v>28500</v>
      </c>
    </row>
    <row r="215" spans="2:26" hidden="1" x14ac:dyDescent="0.25">
      <c r="B215" s="98" t="s">
        <v>141</v>
      </c>
      <c r="C215" s="99" t="s">
        <v>142</v>
      </c>
      <c r="D215" s="100">
        <v>33336</v>
      </c>
      <c r="E215" s="101">
        <f t="shared" si="1"/>
        <v>33336</v>
      </c>
    </row>
    <row r="216" spans="2:26" hidden="1" x14ac:dyDescent="0.25">
      <c r="B216" s="102" t="s">
        <v>143</v>
      </c>
      <c r="C216" s="103" t="s">
        <v>144</v>
      </c>
      <c r="D216" s="104">
        <v>20000</v>
      </c>
      <c r="E216" s="101">
        <f t="shared" si="1"/>
        <v>20000</v>
      </c>
    </row>
    <row r="217" spans="2:26" hidden="1" x14ac:dyDescent="0.25">
      <c r="B217" s="102" t="s">
        <v>145</v>
      </c>
      <c r="C217" s="103" t="s">
        <v>146</v>
      </c>
      <c r="D217" s="104">
        <v>18000</v>
      </c>
      <c r="E217" s="101">
        <f t="shared" si="1"/>
        <v>18000</v>
      </c>
    </row>
    <row r="218" spans="2:26" hidden="1" x14ac:dyDescent="0.25">
      <c r="B218" s="102" t="s">
        <v>147</v>
      </c>
      <c r="C218" s="103" t="s">
        <v>148</v>
      </c>
      <c r="D218" s="104">
        <v>33336</v>
      </c>
      <c r="E218" s="101">
        <f t="shared" si="1"/>
        <v>33336</v>
      </c>
    </row>
    <row r="219" spans="2:26" hidden="1" x14ac:dyDescent="0.25">
      <c r="B219" s="102" t="s">
        <v>149</v>
      </c>
      <c r="C219" s="103" t="s">
        <v>150</v>
      </c>
      <c r="D219" s="104">
        <v>27000</v>
      </c>
      <c r="E219" s="101">
        <v>27000</v>
      </c>
    </row>
    <row r="220" spans="2:26" hidden="1" x14ac:dyDescent="0.25">
      <c r="B220" s="102"/>
      <c r="C220" s="103"/>
      <c r="D220" s="104"/>
      <c r="E220" s="101">
        <f t="shared" si="1"/>
        <v>0</v>
      </c>
    </row>
    <row r="221" spans="2:26" hidden="1" x14ac:dyDescent="0.25">
      <c r="B221" s="105" t="s">
        <v>151</v>
      </c>
      <c r="C221" s="105"/>
      <c r="D221" s="106"/>
      <c r="E221" s="107">
        <f>SUM(E212:E220)</f>
        <v>193172</v>
      </c>
    </row>
    <row r="222" spans="2:26" hidden="1" x14ac:dyDescent="0.25">
      <c r="B222" s="108"/>
      <c r="C222" s="108"/>
      <c r="D222" s="109"/>
      <c r="E222" s="73">
        <f>+E221-'[1]ES F '!B17</f>
        <v>193172</v>
      </c>
    </row>
    <row r="223" spans="2:26" ht="26.25" customHeight="1" x14ac:dyDescent="0.25">
      <c r="B223" s="23" t="s">
        <v>94</v>
      </c>
      <c r="C223" s="23">
        <f>+C151</f>
        <v>2025</v>
      </c>
      <c r="D223" s="23">
        <f>+D151</f>
        <v>2024</v>
      </c>
      <c r="E223" s="23" t="s">
        <v>95</v>
      </c>
    </row>
    <row r="224" spans="2:26" ht="15.75" hidden="1" customHeight="1" x14ac:dyDescent="0.25">
      <c r="B224" s="31" t="s">
        <v>107</v>
      </c>
      <c r="C224" s="70">
        <v>0</v>
      </c>
      <c r="D224" s="29">
        <v>0</v>
      </c>
      <c r="E224" s="78">
        <f>+C224-D224</f>
        <v>0</v>
      </c>
    </row>
    <row r="225" spans="2:26" x14ac:dyDescent="0.25">
      <c r="B225" s="31" t="s">
        <v>152</v>
      </c>
      <c r="C225" s="79">
        <f>+'[1]BALANZA G'!C46</f>
        <v>0</v>
      </c>
      <c r="D225" s="79">
        <f>+E221+10500-18000+13500-6000</f>
        <v>193172</v>
      </c>
      <c r="E225" s="2">
        <f>+C225-D225</f>
        <v>-193172</v>
      </c>
    </row>
    <row r="226" spans="2:26" s="110" customFormat="1" x14ac:dyDescent="0.25">
      <c r="B226" s="60" t="s">
        <v>153</v>
      </c>
      <c r="C226" s="61">
        <f>SUM(C224:C225)</f>
        <v>0</v>
      </c>
      <c r="D226" s="61">
        <f>SUM(D224:D225)</f>
        <v>193172</v>
      </c>
      <c r="E226" s="61">
        <f>SUM(E224:E225)</f>
        <v>-193172</v>
      </c>
      <c r="J226" s="111"/>
      <c r="K226" s="111"/>
      <c r="N226" s="111"/>
      <c r="R226" s="3" t="str">
        <f>+CONCATENATE(S226,"",T226,".00")</f>
        <v>0.00</v>
      </c>
      <c r="S226" s="3" t="str">
        <f>MID(C226,1,3)</f>
        <v>0</v>
      </c>
      <c r="T226" s="3" t="str">
        <f>MID(C226,4,3)</f>
        <v/>
      </c>
      <c r="U226" s="3" t="str">
        <f>MID(C226,7,3)</f>
        <v/>
      </c>
      <c r="V226" s="3" t="str">
        <f>MID(C226,9,3)</f>
        <v/>
      </c>
      <c r="W226" s="112"/>
      <c r="X226" s="112"/>
      <c r="Y226" s="112"/>
      <c r="Z226" s="111"/>
    </row>
    <row r="227" spans="2:26" s="110" customFormat="1" x14ac:dyDescent="0.25">
      <c r="B227" s="113"/>
      <c r="C227" s="114">
        <f>+C226-'[1]ES F '!B17</f>
        <v>0</v>
      </c>
      <c r="D227" s="115">
        <f>+D226-'[1]ES F '!C17</f>
        <v>0</v>
      </c>
      <c r="E227" s="114"/>
      <c r="J227" s="111"/>
      <c r="K227" s="111"/>
      <c r="N227" s="111"/>
      <c r="R227" s="3" t="str">
        <f>+CONCATENATE(S227,",",T227,".00")</f>
        <v>193,172.00</v>
      </c>
      <c r="S227" s="3" t="str">
        <f>MID(D226,1,3)</f>
        <v>193</v>
      </c>
      <c r="T227" s="3" t="str">
        <f>MID(D226,4,3)</f>
        <v>172</v>
      </c>
      <c r="U227" s="3" t="str">
        <f>MID(D226,7,3)</f>
        <v/>
      </c>
      <c r="V227" s="3" t="str">
        <f>MID(D226,8,3)</f>
        <v/>
      </c>
      <c r="W227" s="112"/>
      <c r="X227" s="112"/>
      <c r="Y227" s="112"/>
      <c r="Z227" s="111"/>
    </row>
    <row r="228" spans="2:26" s="116" customFormat="1" x14ac:dyDescent="0.25">
      <c r="B228" s="284" t="str">
        <f>("Cambio porcentual con relación al "&amp;$D$118&amp;".")</f>
        <v>Cambio porcentual con relación al 2024.</v>
      </c>
      <c r="C228" s="285"/>
      <c r="D228" s="117" t="str">
        <f>IF(E228&gt;=0,"Aumento","Disminución")</f>
        <v>Disminución</v>
      </c>
      <c r="E228" s="118">
        <f>IFERROR((+E226/D226),0)</f>
        <v>-1</v>
      </c>
      <c r="J228" s="119"/>
      <c r="K228" s="119"/>
      <c r="N228" s="119"/>
      <c r="R228" s="120"/>
      <c r="S228" s="120"/>
      <c r="T228" s="120"/>
      <c r="U228" s="120"/>
      <c r="V228" s="120"/>
      <c r="W228" s="120"/>
      <c r="X228" s="120"/>
      <c r="Y228" s="120"/>
      <c r="Z228" s="119"/>
    </row>
    <row r="229" spans="2:26" s="116" customFormat="1" x14ac:dyDescent="0.25">
      <c r="B229" s="121"/>
      <c r="C229" s="121"/>
      <c r="D229" s="122"/>
      <c r="E229" s="123"/>
      <c r="J229" s="119"/>
      <c r="K229" s="119"/>
      <c r="N229" s="119"/>
      <c r="R229" s="120"/>
      <c r="S229" s="120"/>
      <c r="T229" s="120"/>
      <c r="U229" s="120"/>
      <c r="V229" s="120"/>
      <c r="W229" s="120"/>
      <c r="X229" s="120"/>
      <c r="Y229" s="120"/>
      <c r="Z229" s="119"/>
    </row>
    <row r="230" spans="2:26" x14ac:dyDescent="0.25">
      <c r="B230" s="9"/>
    </row>
    <row r="231" spans="2:26" x14ac:dyDescent="0.25">
      <c r="B231" s="9"/>
    </row>
    <row r="232" spans="2:26" x14ac:dyDescent="0.25">
      <c r="B232" s="9"/>
    </row>
    <row r="233" spans="2:26" x14ac:dyDescent="0.25">
      <c r="B233" s="9"/>
    </row>
    <row r="234" spans="2:26" x14ac:dyDescent="0.25">
      <c r="B234" s="9"/>
    </row>
    <row r="235" spans="2:26" x14ac:dyDescent="0.25">
      <c r="B235" s="9"/>
    </row>
    <row r="236" spans="2:26" x14ac:dyDescent="0.25">
      <c r="B236" s="9"/>
    </row>
    <row r="237" spans="2:26" x14ac:dyDescent="0.25">
      <c r="B237" s="9"/>
    </row>
    <row r="238" spans="2:26" x14ac:dyDescent="0.25">
      <c r="B238" s="9"/>
    </row>
    <row r="239" spans="2:26" x14ac:dyDescent="0.25">
      <c r="B239" s="9"/>
    </row>
    <row r="240" spans="2:26" x14ac:dyDescent="0.25">
      <c r="B240" s="9"/>
    </row>
    <row r="241" spans="2:5" x14ac:dyDescent="0.25">
      <c r="B241" s="9"/>
    </row>
    <row r="242" spans="2:5" x14ac:dyDescent="0.25">
      <c r="B242" s="9"/>
    </row>
    <row r="243" spans="2:5" x14ac:dyDescent="0.25">
      <c r="B243" s="9"/>
    </row>
    <row r="244" spans="2:5" x14ac:dyDescent="0.25">
      <c r="B244" s="9" t="s">
        <v>154</v>
      </c>
    </row>
    <row r="245" spans="2:5" ht="19.5" customHeight="1" x14ac:dyDescent="0.25">
      <c r="B245" s="299" t="s">
        <v>155</v>
      </c>
      <c r="C245" s="299"/>
      <c r="D245" s="299"/>
      <c r="E245" s="299"/>
    </row>
    <row r="246" spans="2:5" ht="19.5" customHeight="1" x14ac:dyDescent="0.25">
      <c r="B246" s="288" t="str">
        <f>("Un detalle de "&amp;B245&amp;" al "&amp;[1]BALANZA!$B$3&amp;" "&amp;[1]BALANZA!$C$3&amp;" es como se detalla a continuación:")</f>
        <v>Un detalle de Propiedad planta y equipo al 31 de Diciembre del 2025 - 2024 es como se detalla a continuación:</v>
      </c>
      <c r="C246" s="289"/>
      <c r="D246" s="289"/>
      <c r="E246" s="289"/>
    </row>
    <row r="247" spans="2:5" ht="19.5" customHeight="1" x14ac:dyDescent="0.25">
      <c r="B247" s="283" t="s">
        <v>156</v>
      </c>
      <c r="C247" s="283"/>
      <c r="D247" s="283"/>
      <c r="E247" s="283"/>
    </row>
    <row r="248" spans="2:5" ht="91.5" customHeight="1" x14ac:dyDescent="0.25">
      <c r="B248" s="298" t="s">
        <v>157</v>
      </c>
      <c r="C248" s="298"/>
      <c r="D248" s="298"/>
      <c r="E248" s="298"/>
    </row>
    <row r="249" spans="2:5" x14ac:dyDescent="0.25">
      <c r="B249" s="10" t="str">
        <f>+B245</f>
        <v>Propiedad planta y equipo</v>
      </c>
      <c r="C249" s="8" t="s">
        <v>158</v>
      </c>
      <c r="D249" s="11"/>
    </row>
    <row r="250" spans="2:5" hidden="1" x14ac:dyDescent="0.25">
      <c r="B250" s="124" t="s">
        <v>159</v>
      </c>
      <c r="C250" s="124">
        <f>+[1]BALANZA!B4</f>
        <v>2025</v>
      </c>
      <c r="D250" s="125">
        <f>+[1]BALANZA!C4</f>
        <v>2024</v>
      </c>
      <c r="E250" s="126" t="s">
        <v>95</v>
      </c>
    </row>
    <row r="251" spans="2:5" hidden="1" x14ac:dyDescent="0.25">
      <c r="B251" s="127" t="s">
        <v>160</v>
      </c>
      <c r="C251" s="128"/>
      <c r="D251" s="129"/>
      <c r="E251" s="130"/>
    </row>
    <row r="252" spans="2:5" ht="20.25" hidden="1" customHeight="1" x14ac:dyDescent="0.25">
      <c r="B252" s="102" t="s">
        <v>161</v>
      </c>
      <c r="C252" s="128"/>
      <c r="D252" s="129"/>
      <c r="E252" s="130"/>
    </row>
    <row r="253" spans="2:5" ht="20.25" hidden="1" customHeight="1" x14ac:dyDescent="0.25">
      <c r="B253" s="52" t="s">
        <v>162</v>
      </c>
      <c r="C253" s="70">
        <f>+D253+D254</f>
        <v>28416592.940000001</v>
      </c>
      <c r="D253" s="131">
        <f>+'[1]BALANZA G'!D74+'[1]BALANZA G'!D59-D254</f>
        <v>25239892.940000001</v>
      </c>
      <c r="E253" s="69">
        <f>+C253-D253</f>
        <v>3176700</v>
      </c>
    </row>
    <row r="254" spans="2:5" ht="20.25" hidden="1" customHeight="1" x14ac:dyDescent="0.25">
      <c r="B254" s="102" t="s">
        <v>163</v>
      </c>
      <c r="C254" s="70">
        <f>+'[1]BALANZA G'!C74-'[1]BALANZA G'!D74+'[1]BALANZA G'!C59+'[1]BALANZA G'!C77-E253</f>
        <v>6837629.4700000007</v>
      </c>
      <c r="D254" s="132">
        <v>3176700</v>
      </c>
      <c r="E254" s="69">
        <f>+C254-D254</f>
        <v>3660929.4700000007</v>
      </c>
    </row>
    <row r="255" spans="2:5" ht="20.25" hidden="1" customHeight="1" x14ac:dyDescent="0.25">
      <c r="B255" s="102" t="s">
        <v>164</v>
      </c>
      <c r="C255" s="70"/>
      <c r="D255" s="131"/>
      <c r="E255" s="69">
        <f>+C255-D255</f>
        <v>0</v>
      </c>
    </row>
    <row r="256" spans="2:5" ht="20.25" hidden="1" customHeight="1" x14ac:dyDescent="0.25">
      <c r="B256" s="102" t="s">
        <v>165</v>
      </c>
      <c r="C256" s="70">
        <f>-[1]nota12!F28</f>
        <v>-26935891.919999998</v>
      </c>
      <c r="D256" s="131"/>
      <c r="E256" s="69"/>
    </row>
    <row r="257" spans="2:7" ht="20.25" hidden="1" customHeight="1" x14ac:dyDescent="0.25">
      <c r="B257" s="102" t="s">
        <v>166</v>
      </c>
      <c r="C257" s="70">
        <f>-[1]nota12!F29</f>
        <v>-1558222.4900000026</v>
      </c>
      <c r="D257" s="131"/>
      <c r="E257" s="69"/>
    </row>
    <row r="258" spans="2:7" hidden="1" x14ac:dyDescent="0.25">
      <c r="B258" s="133" t="s">
        <v>167</v>
      </c>
      <c r="C258" s="134">
        <f>SUM(C253:C257)</f>
        <v>6760108.0000000037</v>
      </c>
      <c r="D258" s="135">
        <f>SUM(D251:D255)</f>
        <v>28416592.940000001</v>
      </c>
      <c r="E258" s="134">
        <f>SUM(E251:E255)</f>
        <v>6837629.4700000007</v>
      </c>
    </row>
    <row r="259" spans="2:7" ht="28.5" hidden="1" x14ac:dyDescent="0.25">
      <c r="B259" s="133" t="s">
        <v>168</v>
      </c>
      <c r="C259" s="136">
        <v>0</v>
      </c>
      <c r="D259" s="137">
        <v>0</v>
      </c>
      <c r="E259" s="138">
        <f>+C259-D259</f>
        <v>0</v>
      </c>
    </row>
    <row r="260" spans="2:7" ht="28.5" hidden="1" x14ac:dyDescent="0.25">
      <c r="B260" s="133" t="s">
        <v>169</v>
      </c>
      <c r="C260" s="134">
        <f>+C258-C259</f>
        <v>6760108.0000000037</v>
      </c>
      <c r="D260" s="135">
        <f>+D258-D259</f>
        <v>28416592.940000001</v>
      </c>
      <c r="E260" s="134">
        <f>+E258-E259</f>
        <v>6837629.4700000007</v>
      </c>
    </row>
    <row r="261" spans="2:7" ht="23.25" hidden="1" customHeight="1" x14ac:dyDescent="0.25">
      <c r="B261" s="127" t="s">
        <v>170</v>
      </c>
      <c r="C261" s="139"/>
      <c r="D261" s="140"/>
      <c r="E261" s="141"/>
    </row>
    <row r="262" spans="2:7" hidden="1" x14ac:dyDescent="0.25">
      <c r="B262" s="102" t="str">
        <f>+B253</f>
        <v xml:space="preserve">Costos de adquisición  </v>
      </c>
      <c r="C262" s="70">
        <f>+'[1]BALANZA G'!C64</f>
        <v>55553258.920000002</v>
      </c>
      <c r="D262" s="131">
        <f>+'[1]BALANZA G'!D64</f>
        <v>52883325.560000002</v>
      </c>
      <c r="E262" s="69">
        <f>+C262-D262</f>
        <v>2669933.3599999994</v>
      </c>
      <c r="G262" s="1" t="s">
        <v>112</v>
      </c>
    </row>
    <row r="263" spans="2:7" hidden="1" x14ac:dyDescent="0.25">
      <c r="B263" s="102" t="str">
        <f>+B254</f>
        <v>Adiciones</v>
      </c>
      <c r="C263" s="70"/>
      <c r="D263" s="131">
        <f>+'[1]BALANZA G'!F64</f>
        <v>45922302.979999997</v>
      </c>
      <c r="E263" s="69">
        <f>+C263-D263</f>
        <v>-45922302.979999997</v>
      </c>
    </row>
    <row r="264" spans="2:7" hidden="1" x14ac:dyDescent="0.25">
      <c r="B264" s="102" t="str">
        <f>+B255</f>
        <v>Retiros</v>
      </c>
      <c r="C264" s="70"/>
      <c r="D264" s="131"/>
      <c r="E264" s="69">
        <f>+C264-D264</f>
        <v>0</v>
      </c>
    </row>
    <row r="265" spans="2:7" hidden="1" x14ac:dyDescent="0.25">
      <c r="B265" s="102" t="str">
        <f>+B256</f>
        <v>Depreciación Acumulada</v>
      </c>
      <c r="C265" s="70">
        <f>-[1]nota12!I28</f>
        <v>-38206151.979999997</v>
      </c>
      <c r="D265" s="131"/>
      <c r="E265" s="69"/>
    </row>
    <row r="266" spans="2:7" hidden="1" x14ac:dyDescent="0.25">
      <c r="B266" s="102" t="str">
        <f>+B257</f>
        <v>Depreciación del periodo</v>
      </c>
      <c r="C266" s="70">
        <f>-[1]nota12!I29</f>
        <v>-5273734.3300000057</v>
      </c>
      <c r="D266" s="131"/>
      <c r="E266" s="69"/>
    </row>
    <row r="267" spans="2:7" ht="28.5" hidden="1" x14ac:dyDescent="0.25">
      <c r="B267" s="142" t="s">
        <v>171</v>
      </c>
      <c r="C267" s="134">
        <f>SUM(C262:C266)</f>
        <v>12073372.609999999</v>
      </c>
      <c r="D267" s="135">
        <f>SUM(D262:D264)</f>
        <v>98805628.539999992</v>
      </c>
      <c r="E267" s="134">
        <f>SUM(E262:E264)</f>
        <v>-43252369.619999997</v>
      </c>
    </row>
    <row r="268" spans="2:7" ht="28.5" hidden="1" x14ac:dyDescent="0.25">
      <c r="B268" s="133" t="s">
        <v>172</v>
      </c>
      <c r="C268" s="136">
        <v>0</v>
      </c>
      <c r="D268" s="137">
        <v>0</v>
      </c>
      <c r="E268" s="138">
        <f>+C268-D268</f>
        <v>0</v>
      </c>
    </row>
    <row r="269" spans="2:7" ht="42.75" hidden="1" x14ac:dyDescent="0.25">
      <c r="B269" s="133" t="s">
        <v>173</v>
      </c>
      <c r="C269" s="134">
        <f>+C267-C268</f>
        <v>12073372.609999999</v>
      </c>
      <c r="D269" s="135">
        <f>+D267-D268</f>
        <v>98805628.539999992</v>
      </c>
      <c r="E269" s="134">
        <f>+E267-E268</f>
        <v>-43252369.619999997</v>
      </c>
    </row>
    <row r="270" spans="2:7" ht="26.25" hidden="1" customHeight="1" x14ac:dyDescent="0.25">
      <c r="B270" s="143" t="s">
        <v>174</v>
      </c>
      <c r="C270" s="139"/>
      <c r="D270" s="140"/>
      <c r="E270" s="141"/>
    </row>
    <row r="271" spans="2:7" hidden="1" x14ac:dyDescent="0.25">
      <c r="B271" s="102" t="str">
        <f>+B262</f>
        <v xml:space="preserve">Costos de adquisición  </v>
      </c>
      <c r="C271" s="70">
        <f>+'[1]BALANZA G'!C68</f>
        <v>510150</v>
      </c>
      <c r="D271" s="131">
        <f>+'[1]BALANZA G'!D68-D272</f>
        <v>503947</v>
      </c>
      <c r="E271" s="69">
        <f>+C271-D271</f>
        <v>6203</v>
      </c>
    </row>
    <row r="272" spans="2:7" hidden="1" x14ac:dyDescent="0.25">
      <c r="B272" s="102" t="str">
        <f>+B263</f>
        <v>Adiciones</v>
      </c>
      <c r="C272" s="70"/>
      <c r="D272" s="131">
        <f>+'[1]BALANZA G'!F68</f>
        <v>74900</v>
      </c>
      <c r="E272" s="69">
        <f>+C272-D272</f>
        <v>-74900</v>
      </c>
    </row>
    <row r="273" spans="2:5" hidden="1" x14ac:dyDescent="0.25">
      <c r="B273" s="102" t="str">
        <f>+B264</f>
        <v>Retiros</v>
      </c>
      <c r="C273" s="70"/>
      <c r="D273" s="131"/>
      <c r="E273" s="69">
        <f>+C273-D273</f>
        <v>0</v>
      </c>
    </row>
    <row r="274" spans="2:5" hidden="1" x14ac:dyDescent="0.25">
      <c r="B274" s="102" t="str">
        <f>+B265</f>
        <v>Depreciación Acumulada</v>
      </c>
      <c r="C274" s="70"/>
      <c r="D274" s="131"/>
      <c r="E274" s="69"/>
    </row>
    <row r="275" spans="2:5" hidden="1" x14ac:dyDescent="0.25">
      <c r="B275" s="102" t="str">
        <f>+B266</f>
        <v>Depreciación del periodo</v>
      </c>
      <c r="C275" s="70">
        <f>-[1]nota12!G29</f>
        <v>-8264.6600000000035</v>
      </c>
      <c r="D275" s="131"/>
      <c r="E275" s="69"/>
    </row>
    <row r="276" spans="2:5" ht="28.5" hidden="1" x14ac:dyDescent="0.25">
      <c r="B276" s="133" t="s">
        <v>175</v>
      </c>
      <c r="C276" s="134">
        <f>SUM(C271:C275)</f>
        <v>501885.33999999997</v>
      </c>
      <c r="D276" s="135">
        <f>SUM(D271:D275)</f>
        <v>578847</v>
      </c>
      <c r="E276" s="134">
        <f>SUM(E271)</f>
        <v>6203</v>
      </c>
    </row>
    <row r="277" spans="2:5" ht="27" hidden="1" customHeight="1" x14ac:dyDescent="0.25">
      <c r="B277" s="133" t="s">
        <v>176</v>
      </c>
      <c r="C277" s="136">
        <v>0</v>
      </c>
      <c r="D277" s="137">
        <v>0</v>
      </c>
      <c r="E277" s="138">
        <f>+C277-D277</f>
        <v>0</v>
      </c>
    </row>
    <row r="278" spans="2:5" ht="28.5" hidden="1" x14ac:dyDescent="0.25">
      <c r="B278" s="133" t="s">
        <v>177</v>
      </c>
      <c r="C278" s="134">
        <f>+C276-C277</f>
        <v>501885.33999999997</v>
      </c>
      <c r="D278" s="135">
        <f>+D276-D277</f>
        <v>578847</v>
      </c>
      <c r="E278" s="134">
        <f>+E276-E277</f>
        <v>6203</v>
      </c>
    </row>
    <row r="279" spans="2:5" hidden="1" x14ac:dyDescent="0.25">
      <c r="B279" s="127" t="s">
        <v>178</v>
      </c>
      <c r="C279" s="139"/>
      <c r="D279" s="140"/>
      <c r="E279" s="141"/>
    </row>
    <row r="280" spans="2:5" hidden="1" x14ac:dyDescent="0.25">
      <c r="B280" s="102" t="str">
        <f>+B271</f>
        <v xml:space="preserve">Costos de adquisición  </v>
      </c>
      <c r="C280" s="70">
        <f>+'[1]BALANZA G'!C65+'[1]BALANZA G'!C71-C281</f>
        <v>16016968.830000004</v>
      </c>
      <c r="D280" s="131">
        <f>+'[1]BALANZA G'!D65+'[1]BALANZA G'!D71-D281</f>
        <v>10179245.880000003</v>
      </c>
      <c r="E280" s="69">
        <f>+C280-D280</f>
        <v>5837722.9500000011</v>
      </c>
    </row>
    <row r="281" spans="2:5" hidden="1" x14ac:dyDescent="0.25">
      <c r="B281" s="102" t="str">
        <f>+B272</f>
        <v>Adiciones</v>
      </c>
      <c r="C281" s="70">
        <f>+'[1]BALANZA G'!C71-D281+'[1]BALANZA G'!C65-'[1]BALANZA G'!D65</f>
        <v>2387515.2999999989</v>
      </c>
      <c r="D281" s="79">
        <f>+'[1]BALANZA G'!D71</f>
        <v>5837722.9500000002</v>
      </c>
      <c r="E281" s="69">
        <f>+C281-D281</f>
        <v>-3450207.6500000013</v>
      </c>
    </row>
    <row r="282" spans="2:5" hidden="1" x14ac:dyDescent="0.25">
      <c r="B282" s="102" t="str">
        <f>+B273</f>
        <v>Retiros</v>
      </c>
      <c r="C282" s="70"/>
      <c r="D282" s="131"/>
      <c r="E282" s="69">
        <f>+C282-D282</f>
        <v>0</v>
      </c>
    </row>
    <row r="283" spans="2:5" hidden="1" x14ac:dyDescent="0.25">
      <c r="B283" s="102" t="str">
        <f>+B274</f>
        <v>Depreciación Acumulada</v>
      </c>
      <c r="C283" s="70">
        <f>-[1]nota12!H28</f>
        <v>-11856936.66</v>
      </c>
      <c r="D283" s="131"/>
      <c r="E283" s="69"/>
    </row>
    <row r="284" spans="2:5" hidden="1" x14ac:dyDescent="0.25">
      <c r="B284" s="102" t="str">
        <f>+B275</f>
        <v>Depreciación del periodo</v>
      </c>
      <c r="C284" s="70">
        <f>-[1]nota12!H29</f>
        <v>-650544.72999999905</v>
      </c>
      <c r="D284" s="131"/>
      <c r="E284" s="69"/>
    </row>
    <row r="285" spans="2:5" ht="28.5" hidden="1" x14ac:dyDescent="0.25">
      <c r="B285" s="133" t="s">
        <v>179</v>
      </c>
      <c r="C285" s="134">
        <f>SUM(C280:C284)</f>
        <v>5897002.7400000039</v>
      </c>
      <c r="D285" s="135">
        <f>SUM(D280:D282)</f>
        <v>16016968.830000002</v>
      </c>
      <c r="E285" s="134">
        <f>SUM(E280:E282)</f>
        <v>2387515.2999999998</v>
      </c>
    </row>
    <row r="286" spans="2:5" ht="28.5" hidden="1" x14ac:dyDescent="0.25">
      <c r="B286" s="133" t="s">
        <v>180</v>
      </c>
      <c r="C286" s="136"/>
      <c r="D286" s="137"/>
      <c r="E286" s="138"/>
    </row>
    <row r="287" spans="2:5" ht="28.5" hidden="1" x14ac:dyDescent="0.25">
      <c r="B287" s="133" t="s">
        <v>181</v>
      </c>
      <c r="C287" s="134">
        <f>+C285-C286</f>
        <v>5897002.7400000039</v>
      </c>
      <c r="D287" s="135">
        <f>+D285-D286</f>
        <v>16016968.830000002</v>
      </c>
      <c r="E287" s="134">
        <f>+E285-E286</f>
        <v>2387515.2999999998</v>
      </c>
    </row>
    <row r="288" spans="2:5" hidden="1" x14ac:dyDescent="0.25">
      <c r="B288" s="127" t="s">
        <v>182</v>
      </c>
      <c r="C288" s="144"/>
      <c r="D288" s="131"/>
      <c r="E288" s="69">
        <f>+C288-D288</f>
        <v>0</v>
      </c>
    </row>
    <row r="289" spans="2:5" hidden="1" x14ac:dyDescent="0.25">
      <c r="B289" s="102" t="s">
        <v>183</v>
      </c>
      <c r="C289" s="70"/>
      <c r="D289" s="131"/>
      <c r="E289" s="69">
        <f>+C289-D289</f>
        <v>0</v>
      </c>
    </row>
    <row r="290" spans="2:5" hidden="1" x14ac:dyDescent="0.25">
      <c r="B290" s="145" t="s">
        <v>184</v>
      </c>
      <c r="C290" s="70"/>
      <c r="D290" s="131"/>
      <c r="E290" s="69">
        <f>+C290-D290</f>
        <v>0</v>
      </c>
    </row>
    <row r="291" spans="2:5" ht="28.5" hidden="1" x14ac:dyDescent="0.25">
      <c r="B291" s="133" t="s">
        <v>185</v>
      </c>
      <c r="C291" s="146">
        <f>SUM(C289:C290)</f>
        <v>0</v>
      </c>
      <c r="D291" s="147">
        <f>SUM(D289:D290)</f>
        <v>0</v>
      </c>
      <c r="E291" s="146">
        <f>SUM(E289:E290)</f>
        <v>0</v>
      </c>
    </row>
    <row r="292" spans="2:5" ht="28.5" hidden="1" x14ac:dyDescent="0.25">
      <c r="B292" s="133" t="s">
        <v>186</v>
      </c>
      <c r="C292" s="148">
        <v>0</v>
      </c>
      <c r="D292" s="137">
        <v>0</v>
      </c>
      <c r="E292" s="138">
        <f>+C292-D292</f>
        <v>0</v>
      </c>
    </row>
    <row r="293" spans="2:5" ht="28.5" hidden="1" x14ac:dyDescent="0.25">
      <c r="B293" s="133" t="s">
        <v>187</v>
      </c>
      <c r="C293" s="146">
        <f>+C291-C292</f>
        <v>0</v>
      </c>
      <c r="D293" s="147">
        <f>+D291-D292</f>
        <v>0</v>
      </c>
      <c r="E293" s="146">
        <f>+E291-E292</f>
        <v>0</v>
      </c>
    </row>
    <row r="294" spans="2:5" hidden="1" x14ac:dyDescent="0.25">
      <c r="B294" s="143" t="s">
        <v>188</v>
      </c>
      <c r="C294" s="139"/>
      <c r="D294" s="140"/>
      <c r="E294" s="141"/>
    </row>
    <row r="295" spans="2:5" hidden="1" x14ac:dyDescent="0.25">
      <c r="B295" s="31" t="str">
        <f>+B280</f>
        <v xml:space="preserve">Costos de adquisición  </v>
      </c>
      <c r="C295" s="70">
        <f>+'[1]BALANZA G'!D55</f>
        <v>1623675</v>
      </c>
      <c r="D295" s="131">
        <f>+'[1]BALANZA G'!D55</f>
        <v>1623675</v>
      </c>
      <c r="E295" s="69">
        <f>+C295-D295</f>
        <v>0</v>
      </c>
    </row>
    <row r="296" spans="2:5" hidden="1" x14ac:dyDescent="0.25">
      <c r="B296" s="31" t="str">
        <f>+B281</f>
        <v>Adiciones</v>
      </c>
      <c r="C296" s="70">
        <f>+'[1]BALANZA G'!C55-'[1]BALANZA G'!D55</f>
        <v>0</v>
      </c>
      <c r="D296" s="131">
        <f>+'[1]BALANZA G'!F55</f>
        <v>1623675</v>
      </c>
      <c r="E296" s="69">
        <f>+C296-D296</f>
        <v>-1623675</v>
      </c>
    </row>
    <row r="297" spans="2:5" hidden="1" x14ac:dyDescent="0.25">
      <c r="B297" s="31" t="str">
        <f>+B282</f>
        <v>Retiros</v>
      </c>
      <c r="C297" s="70"/>
      <c r="D297" s="131"/>
      <c r="E297" s="69">
        <f>+C297-D297</f>
        <v>0</v>
      </c>
    </row>
    <row r="298" spans="2:5" hidden="1" x14ac:dyDescent="0.25">
      <c r="B298" s="31" t="str">
        <f>+B283</f>
        <v>Depreciación Acumulada</v>
      </c>
      <c r="C298" s="70"/>
      <c r="D298" s="131"/>
      <c r="E298" s="69"/>
    </row>
    <row r="299" spans="2:5" hidden="1" x14ac:dyDescent="0.25">
      <c r="B299" s="31" t="str">
        <f>+B284</f>
        <v>Depreciación del periodo</v>
      </c>
      <c r="C299" s="70"/>
      <c r="D299" s="131"/>
      <c r="E299" s="69"/>
    </row>
    <row r="300" spans="2:5" hidden="1" x14ac:dyDescent="0.25">
      <c r="B300" s="133" t="s">
        <v>189</v>
      </c>
      <c r="C300" s="134">
        <f>SUM(C289:C296)</f>
        <v>1623675</v>
      </c>
      <c r="D300" s="135">
        <f>SUM(D289:D296)</f>
        <v>3247350</v>
      </c>
      <c r="E300" s="134">
        <f>SUM(E289:E296)</f>
        <v>-1623675</v>
      </c>
    </row>
    <row r="301" spans="2:5" hidden="1" x14ac:dyDescent="0.25">
      <c r="B301" s="143" t="s">
        <v>190</v>
      </c>
      <c r="C301" s="139"/>
      <c r="D301" s="140"/>
      <c r="E301" s="141"/>
    </row>
    <row r="302" spans="2:5" hidden="1" x14ac:dyDescent="0.25">
      <c r="B302" s="31" t="str">
        <f>+B295</f>
        <v xml:space="preserve">Costos de adquisición  </v>
      </c>
      <c r="C302" s="70">
        <f>+'[1]BALANZA G'!D58</f>
        <v>953149176.46000004</v>
      </c>
      <c r="D302" s="131">
        <f>+'[1]BALANZA G'!D58</f>
        <v>953149176.46000004</v>
      </c>
      <c r="E302" s="69">
        <f>+C302-D302</f>
        <v>0</v>
      </c>
    </row>
    <row r="303" spans="2:5" hidden="1" x14ac:dyDescent="0.25">
      <c r="B303" s="31" t="str">
        <f>+B296</f>
        <v>Adiciones</v>
      </c>
      <c r="C303" s="70">
        <f>+'[1]BALANZA G'!C58-'[1]BALANZA G'!D58</f>
        <v>0</v>
      </c>
      <c r="D303" s="131">
        <f>+'[1]BALANZA G'!J57</f>
        <v>0</v>
      </c>
      <c r="E303" s="69">
        <f>+C303-D303</f>
        <v>0</v>
      </c>
    </row>
    <row r="304" spans="2:5" hidden="1" x14ac:dyDescent="0.25">
      <c r="B304" s="31" t="str">
        <f>+B297</f>
        <v>Retiros</v>
      </c>
      <c r="C304" s="70"/>
      <c r="D304" s="131"/>
      <c r="E304" s="69"/>
    </row>
    <row r="305" spans="2:6" hidden="1" x14ac:dyDescent="0.25">
      <c r="B305" s="31" t="str">
        <f>+B298</f>
        <v>Depreciación Acumulada</v>
      </c>
      <c r="C305" s="70">
        <f>-[1]nota12!E28</f>
        <v>-270856525.61000001</v>
      </c>
      <c r="D305" s="131"/>
      <c r="E305" s="69"/>
    </row>
    <row r="306" spans="2:6" hidden="1" x14ac:dyDescent="0.25">
      <c r="B306" s="31" t="str">
        <f>+B299</f>
        <v>Depreciación del periodo</v>
      </c>
      <c r="C306" s="70">
        <f>-[1]nota12!E29</f>
        <v>-38952343.180000007</v>
      </c>
      <c r="D306" s="131"/>
      <c r="E306" s="69"/>
    </row>
    <row r="307" spans="2:6" hidden="1" x14ac:dyDescent="0.25">
      <c r="B307" s="133" t="s">
        <v>191</v>
      </c>
      <c r="C307" s="134">
        <f>SUM(C302:C306)</f>
        <v>643340307.67000008</v>
      </c>
      <c r="D307" s="135">
        <f>+D302+D303-D304</f>
        <v>953149176.46000004</v>
      </c>
      <c r="E307" s="134">
        <f>+E302+E303-E304</f>
        <v>0</v>
      </c>
    </row>
    <row r="308" spans="2:6" hidden="1" x14ac:dyDescent="0.25">
      <c r="B308" s="133" t="s">
        <v>189</v>
      </c>
      <c r="C308" s="134">
        <f>+C307+C300</f>
        <v>644963982.67000008</v>
      </c>
      <c r="D308" s="135">
        <f>+D307+D300</f>
        <v>956396526.46000004</v>
      </c>
      <c r="E308" s="134">
        <f>+E307+E300</f>
        <v>-1623675</v>
      </c>
      <c r="F308" s="149">
        <f>+F307+F300</f>
        <v>0</v>
      </c>
    </row>
    <row r="309" spans="2:6" hidden="1" x14ac:dyDescent="0.25">
      <c r="B309" s="133" t="s">
        <v>192</v>
      </c>
      <c r="C309" s="136"/>
      <c r="D309" s="137"/>
      <c r="E309" s="138">
        <f>+C309-D309</f>
        <v>0</v>
      </c>
    </row>
    <row r="310" spans="2:6" ht="27" hidden="1" customHeight="1" x14ac:dyDescent="0.25">
      <c r="B310" s="133" t="s">
        <v>193</v>
      </c>
      <c r="C310" s="134">
        <f>+C308-C309</f>
        <v>644963982.67000008</v>
      </c>
      <c r="D310" s="135">
        <f>+D308-D309</f>
        <v>956396526.46000004</v>
      </c>
      <c r="E310" s="134">
        <f>+E308-E309</f>
        <v>-1623675</v>
      </c>
    </row>
    <row r="311" spans="2:6" hidden="1" x14ac:dyDescent="0.25">
      <c r="B311" s="150" t="s">
        <v>194</v>
      </c>
      <c r="C311" s="144"/>
      <c r="D311" s="131"/>
      <c r="E311" s="69">
        <f>+C311-D311</f>
        <v>0</v>
      </c>
    </row>
    <row r="312" spans="2:6" hidden="1" x14ac:dyDescent="0.25">
      <c r="B312" s="102" t="s">
        <v>195</v>
      </c>
      <c r="C312" s="70"/>
      <c r="D312" s="131"/>
      <c r="E312" s="69">
        <f>+C312-D312</f>
        <v>0</v>
      </c>
    </row>
    <row r="313" spans="2:6" hidden="1" x14ac:dyDescent="0.25">
      <c r="B313" s="133" t="s">
        <v>196</v>
      </c>
      <c r="C313" s="134">
        <f>SUM(C312)</f>
        <v>0</v>
      </c>
      <c r="D313" s="135">
        <f>SUM(D312)</f>
        <v>0</v>
      </c>
      <c r="E313" s="134">
        <f>SUM(E312)</f>
        <v>0</v>
      </c>
    </row>
    <row r="314" spans="2:6" ht="28.5" hidden="1" x14ac:dyDescent="0.25">
      <c r="B314" s="133" t="s">
        <v>197</v>
      </c>
      <c r="C314" s="136"/>
      <c r="D314" s="137"/>
      <c r="E314" s="138">
        <f>+C314-D314</f>
        <v>0</v>
      </c>
    </row>
    <row r="315" spans="2:6" ht="28.5" hidden="1" x14ac:dyDescent="0.25">
      <c r="B315" s="133" t="s">
        <v>198</v>
      </c>
      <c r="C315" s="134">
        <f>+C313-C314</f>
        <v>0</v>
      </c>
      <c r="D315" s="135">
        <f>+D313-D314</f>
        <v>0</v>
      </c>
      <c r="E315" s="134">
        <f>+E313-E314</f>
        <v>0</v>
      </c>
    </row>
    <row r="316" spans="2:6" hidden="1" x14ac:dyDescent="0.25">
      <c r="B316" s="150" t="s">
        <v>199</v>
      </c>
      <c r="C316" s="144"/>
      <c r="D316" s="131"/>
      <c r="E316" s="69"/>
    </row>
    <row r="317" spans="2:6" hidden="1" x14ac:dyDescent="0.25">
      <c r="B317" s="145" t="s">
        <v>200</v>
      </c>
      <c r="C317" s="70"/>
      <c r="D317" s="131"/>
      <c r="E317" s="69">
        <f>+C317-D317</f>
        <v>0</v>
      </c>
    </row>
    <row r="318" spans="2:6" ht="12" hidden="1" customHeight="1" x14ac:dyDescent="0.25">
      <c r="B318" s="145" t="s">
        <v>201</v>
      </c>
      <c r="C318" s="70"/>
      <c r="D318" s="131"/>
      <c r="E318" s="69">
        <f>+C318-D318</f>
        <v>0</v>
      </c>
    </row>
    <row r="319" spans="2:6" ht="13.5" hidden="1" customHeight="1" x14ac:dyDescent="0.25">
      <c r="B319" s="145" t="s">
        <v>202</v>
      </c>
      <c r="C319" s="70"/>
      <c r="D319" s="131"/>
      <c r="E319" s="69">
        <f>+C319-D319</f>
        <v>0</v>
      </c>
    </row>
    <row r="320" spans="2:6" ht="24.75" hidden="1" customHeight="1" x14ac:dyDescent="0.25">
      <c r="B320" s="133" t="s">
        <v>203</v>
      </c>
      <c r="C320" s="134">
        <f>SUM(C317:C319)</f>
        <v>0</v>
      </c>
      <c r="D320" s="135">
        <f>SUM(D317:D319)</f>
        <v>0</v>
      </c>
      <c r="E320" s="134">
        <f>SUM(E317:E319)</f>
        <v>0</v>
      </c>
    </row>
    <row r="321" spans="2:26" ht="21" hidden="1" customHeight="1" x14ac:dyDescent="0.25">
      <c r="B321" s="133" t="s">
        <v>204</v>
      </c>
      <c r="C321" s="136"/>
      <c r="D321" s="137"/>
      <c r="E321" s="138">
        <f>+C321-D321</f>
        <v>0</v>
      </c>
    </row>
    <row r="322" spans="2:26" ht="33" hidden="1" customHeight="1" x14ac:dyDescent="0.25">
      <c r="B322" s="133" t="s">
        <v>205</v>
      </c>
      <c r="C322" s="134">
        <f>+C320-C321</f>
        <v>0</v>
      </c>
      <c r="D322" s="135">
        <f>+D320-D321</f>
        <v>0</v>
      </c>
      <c r="E322" s="134">
        <f>+E320-E321</f>
        <v>0</v>
      </c>
    </row>
    <row r="323" spans="2:26" hidden="1" x14ac:dyDescent="0.25">
      <c r="B323" s="133" t="s">
        <v>206</v>
      </c>
      <c r="C323" s="151">
        <f>+C322+C315+C310+C293+C287+C278+C269+C260</f>
        <v>670196351.36000013</v>
      </c>
      <c r="D323" s="152">
        <f>+D322+D315+D310+D293+D287+D278+D269+D260</f>
        <v>1100214563.77</v>
      </c>
      <c r="E323" s="151">
        <f>+E322+E315+E310+E293+E287+E278+E269+E260</f>
        <v>-35644696.850000001</v>
      </c>
    </row>
    <row r="324" spans="2:26" hidden="1" x14ac:dyDescent="0.25">
      <c r="B324" s="133" t="s">
        <v>207</v>
      </c>
      <c r="C324" s="153">
        <f>+C321+C314+C309+C292+C286+C277+C268+C259</f>
        <v>0</v>
      </c>
      <c r="D324" s="137">
        <f>+D321+D314+D309+D292+D286+D277+D268+D259</f>
        <v>0</v>
      </c>
      <c r="E324" s="138">
        <f>+C324-D324</f>
        <v>0</v>
      </c>
    </row>
    <row r="325" spans="2:26" hidden="1" x14ac:dyDescent="0.25">
      <c r="B325" s="133" t="s">
        <v>208</v>
      </c>
      <c r="C325" s="151">
        <f>+C308+C287+C278+C269+C260</f>
        <v>670196351.36000013</v>
      </c>
      <c r="D325" s="152">
        <f>+D308+D287+D278+D269+D260</f>
        <v>1100214563.77</v>
      </c>
      <c r="E325" s="151">
        <f>+E323-E324</f>
        <v>-35644696.850000001</v>
      </c>
    </row>
    <row r="326" spans="2:26" s="8" customFormat="1" ht="9.75" hidden="1" customHeight="1" x14ac:dyDescent="0.25">
      <c r="B326" s="154"/>
      <c r="C326" s="155"/>
      <c r="D326" s="156"/>
      <c r="E326" s="157"/>
      <c r="J326" s="11"/>
      <c r="K326" s="11"/>
      <c r="N326" s="11"/>
      <c r="R326" s="3"/>
      <c r="S326" s="3"/>
      <c r="T326" s="3"/>
      <c r="U326" s="3"/>
      <c r="V326" s="3"/>
      <c r="W326" s="3"/>
      <c r="X326" s="3"/>
      <c r="Y326" s="3"/>
      <c r="Z326" s="11"/>
    </row>
    <row r="327" spans="2:26" s="35" customFormat="1" x14ac:dyDescent="0.25">
      <c r="B327" s="284" t="str">
        <f>("Cambio porcentual con relación al "&amp;$D$118&amp;".")</f>
        <v>Cambio porcentual con relación al 2024.</v>
      </c>
      <c r="C327" s="285"/>
      <c r="D327" s="117" t="str">
        <f>IF(E327&gt;=0,"Aumento","Disminución")</f>
        <v>Disminución</v>
      </c>
      <c r="E327" s="118">
        <f>+E325/D325</f>
        <v>-3.2397950385113727E-2</v>
      </c>
      <c r="J327" s="39"/>
      <c r="K327" s="39"/>
      <c r="N327" s="39"/>
      <c r="R327" s="40"/>
      <c r="S327" s="40"/>
      <c r="T327" s="40"/>
      <c r="U327" s="40"/>
      <c r="V327" s="40"/>
      <c r="W327" s="40"/>
      <c r="X327" s="40"/>
      <c r="Y327" s="40"/>
      <c r="Z327" s="39"/>
    </row>
    <row r="328" spans="2:26" x14ac:dyDescent="0.25">
      <c r="B328" s="93"/>
    </row>
    <row r="329" spans="2:26" x14ac:dyDescent="0.25">
      <c r="B329" s="93"/>
    </row>
    <row r="330" spans="2:26" x14ac:dyDescent="0.25">
      <c r="B330" s="93"/>
    </row>
    <row r="331" spans="2:26" x14ac:dyDescent="0.25">
      <c r="B331" s="93"/>
    </row>
    <row r="332" spans="2:26" x14ac:dyDescent="0.25">
      <c r="B332" s="93"/>
    </row>
    <row r="333" spans="2:26" x14ac:dyDescent="0.25">
      <c r="B333" s="93"/>
    </row>
    <row r="334" spans="2:26" x14ac:dyDescent="0.25">
      <c r="B334" s="93"/>
    </row>
    <row r="335" spans="2:26" x14ac:dyDescent="0.25">
      <c r="B335" s="93"/>
    </row>
    <row r="336" spans="2:26" x14ac:dyDescent="0.25">
      <c r="B336" s="93"/>
    </row>
    <row r="337" spans="2:2" x14ac:dyDescent="0.25">
      <c r="B337" s="93"/>
    </row>
    <row r="338" spans="2:2" x14ac:dyDescent="0.25">
      <c r="B338" s="93"/>
    </row>
    <row r="339" spans="2:2" x14ac:dyDescent="0.25">
      <c r="B339" s="93"/>
    </row>
    <row r="340" spans="2:2" x14ac:dyDescent="0.25">
      <c r="B340" s="93"/>
    </row>
    <row r="341" spans="2:2" x14ac:dyDescent="0.25">
      <c r="B341" s="93"/>
    </row>
    <row r="342" spans="2:2" x14ac:dyDescent="0.25">
      <c r="B342" s="93"/>
    </row>
    <row r="343" spans="2:2" x14ac:dyDescent="0.25">
      <c r="B343" s="93"/>
    </row>
    <row r="344" spans="2:2" x14ac:dyDescent="0.25">
      <c r="B344" s="93"/>
    </row>
    <row r="345" spans="2:2" x14ac:dyDescent="0.25">
      <c r="B345" s="93"/>
    </row>
    <row r="346" spans="2:2" x14ac:dyDescent="0.25">
      <c r="B346" s="93"/>
    </row>
    <row r="347" spans="2:2" x14ac:dyDescent="0.25">
      <c r="B347" s="93"/>
    </row>
    <row r="348" spans="2:2" x14ac:dyDescent="0.25">
      <c r="B348" s="93"/>
    </row>
    <row r="349" spans="2:2" x14ac:dyDescent="0.25">
      <c r="B349" s="93"/>
    </row>
    <row r="350" spans="2:2" x14ac:dyDescent="0.25">
      <c r="B350" s="93"/>
    </row>
    <row r="351" spans="2:2" x14ac:dyDescent="0.25">
      <c r="B351" s="93"/>
    </row>
    <row r="352" spans="2:2" x14ac:dyDescent="0.25">
      <c r="B352" s="93"/>
    </row>
    <row r="353" spans="2:5" x14ac:dyDescent="0.25">
      <c r="B353" s="93"/>
    </row>
    <row r="354" spans="2:5" x14ac:dyDescent="0.25">
      <c r="B354" s="93"/>
    </row>
    <row r="355" spans="2:5" x14ac:dyDescent="0.25">
      <c r="B355" s="93"/>
    </row>
    <row r="356" spans="2:5" ht="35.25" customHeight="1" x14ac:dyDescent="0.25">
      <c r="B356" s="93"/>
    </row>
    <row r="357" spans="2:5" x14ac:dyDescent="0.25">
      <c r="B357" s="93"/>
    </row>
    <row r="358" spans="2:5" x14ac:dyDescent="0.25">
      <c r="B358" s="93"/>
    </row>
    <row r="359" spans="2:5" x14ac:dyDescent="0.25">
      <c r="B359" s="93"/>
    </row>
    <row r="360" spans="2:5" x14ac:dyDescent="0.25">
      <c r="B360" s="93"/>
    </row>
    <row r="361" spans="2:5" x14ac:dyDescent="0.25">
      <c r="B361" s="93"/>
    </row>
    <row r="362" spans="2:5" ht="6" customHeight="1" x14ac:dyDescent="0.25">
      <c r="B362" s="93"/>
    </row>
    <row r="363" spans="2:5" x14ac:dyDescent="0.25">
      <c r="B363" s="93"/>
    </row>
    <row r="364" spans="2:5" x14ac:dyDescent="0.25">
      <c r="B364" s="93"/>
    </row>
    <row r="365" spans="2:5" x14ac:dyDescent="0.25">
      <c r="B365" s="93"/>
    </row>
    <row r="366" spans="2:5" x14ac:dyDescent="0.25">
      <c r="B366" s="52" t="s">
        <v>209</v>
      </c>
    </row>
    <row r="367" spans="2:5" x14ac:dyDescent="0.25">
      <c r="B367" s="52" t="s">
        <v>210</v>
      </c>
    </row>
    <row r="368" spans="2:5" ht="15" customHeight="1" x14ac:dyDescent="0.25">
      <c r="B368" s="288" t="str">
        <f>("Un detalle de las  "&amp;B367&amp;" al "&amp;[1]BALANZA!$B$3&amp;" "&amp;[1]BALANZA!$C$3&amp;" es como se detalla a continuación:")</f>
        <v>Un detalle de las  Activos Intangible  al 31 de Diciembre del 2025 - 2024 es como se detalla a continuación:</v>
      </c>
      <c r="C368" s="289"/>
      <c r="D368" s="289"/>
      <c r="E368" s="289"/>
    </row>
    <row r="369" spans="2:26" ht="33.75" customHeight="1" x14ac:dyDescent="0.25">
      <c r="B369" s="283" t="str">
        <f>("Las "&amp;B367&amp;" está integrado siguientes cuentas, para el "&amp;C371&amp;" el total era de RD$"&amp;R374&amp;" y para el "&amp;D371&amp;" el total fue de RD$"&amp;R375&amp;" , Según el siguiente detalle:")</f>
        <v>Las Activos Intangible  está integrado siguientes cuentas, para el 2025 el total era de RD$121,660.00 y para el 2024 el total fue de RD$0.00 , Según el siguiente detalle:</v>
      </c>
      <c r="C369" s="283"/>
      <c r="D369" s="283"/>
      <c r="E369" s="283"/>
      <c r="I369" s="158"/>
      <c r="J369" s="159"/>
    </row>
    <row r="370" spans="2:26" s="35" customFormat="1" ht="12.75" customHeight="1" x14ac:dyDescent="0.25">
      <c r="B370" s="160"/>
      <c r="C370" s="160"/>
      <c r="D370" s="161"/>
      <c r="E370" s="162"/>
      <c r="J370" s="39"/>
      <c r="K370" s="39"/>
      <c r="N370" s="39"/>
      <c r="R370" s="40"/>
      <c r="S370" s="40"/>
      <c r="T370" s="40"/>
      <c r="U370" s="40"/>
      <c r="V370" s="40"/>
      <c r="W370" s="40"/>
      <c r="X370" s="40"/>
      <c r="Y370" s="40"/>
      <c r="Z370" s="39"/>
    </row>
    <row r="371" spans="2:26" x14ac:dyDescent="0.25">
      <c r="B371" s="163" t="s">
        <v>94</v>
      </c>
      <c r="C371" s="164">
        <f>+[1]BALANZA!B4</f>
        <v>2025</v>
      </c>
      <c r="D371" s="164">
        <f>+[1]BALANZA!C4</f>
        <v>2024</v>
      </c>
      <c r="E371" s="163" t="s">
        <v>95</v>
      </c>
    </row>
    <row r="372" spans="2:26" x14ac:dyDescent="0.25">
      <c r="B372" s="165" t="s">
        <v>211</v>
      </c>
      <c r="C372" s="79">
        <v>208560</v>
      </c>
      <c r="D372" s="79">
        <v>160568.42000000001</v>
      </c>
      <c r="E372" s="166">
        <f>+C372-D372</f>
        <v>47991.579999999987</v>
      </c>
      <c r="K372" s="2">
        <v>160568.42000000001</v>
      </c>
    </row>
    <row r="373" spans="2:26" x14ac:dyDescent="0.25">
      <c r="B373" s="165" t="s">
        <v>212</v>
      </c>
      <c r="C373" s="79">
        <f>-C588</f>
        <v>-86900</v>
      </c>
      <c r="D373" s="79">
        <f>-D372</f>
        <v>-160568.42000000001</v>
      </c>
      <c r="E373" s="166">
        <f>+C373-D373</f>
        <v>73668.420000000013</v>
      </c>
      <c r="J373" s="2">
        <v>-20309</v>
      </c>
      <c r="K373" s="2">
        <v>-160568.42000000001</v>
      </c>
    </row>
    <row r="374" spans="2:26" x14ac:dyDescent="0.25">
      <c r="B374" s="105" t="s">
        <v>213</v>
      </c>
      <c r="C374" s="106">
        <f>+C372+C373</f>
        <v>121660</v>
      </c>
      <c r="D374" s="106">
        <f>SUM(D372:D372)+D373</f>
        <v>0</v>
      </c>
      <c r="E374" s="106">
        <f>SUM(E372:E372)-E373</f>
        <v>-25676.840000000026</v>
      </c>
      <c r="K374" s="2">
        <v>0</v>
      </c>
      <c r="R374" s="3" t="str">
        <f>+CONCATENATE(S374,",",T374,".00",)</f>
        <v>121,660.00</v>
      </c>
      <c r="S374" s="3" t="str">
        <f>MID(C374,1,3)</f>
        <v>121</v>
      </c>
      <c r="T374" s="3" t="str">
        <f>MID(C374,4,3)</f>
        <v>660</v>
      </c>
      <c r="U374" s="3" t="str">
        <f>MID(C374,6,3)</f>
        <v>0</v>
      </c>
    </row>
    <row r="375" spans="2:26" ht="10.5" customHeight="1" x14ac:dyDescent="0.25">
      <c r="B375" s="167"/>
      <c r="C375" s="168"/>
      <c r="D375" s="169"/>
      <c r="E375" s="170"/>
      <c r="R375" s="3" t="str">
        <f>+CONCATENATE(S375,".00",T375,U375)</f>
        <v>0.00</v>
      </c>
      <c r="S375" s="3" t="str">
        <f>MID(D374,1,3)</f>
        <v>0</v>
      </c>
      <c r="T375" s="3" t="str">
        <f>MID(D374,4,3)</f>
        <v/>
      </c>
      <c r="U375" s="3" t="str">
        <f>MID(D374,7,3)</f>
        <v/>
      </c>
    </row>
    <row r="376" spans="2:26" s="35" customFormat="1" x14ac:dyDescent="0.25">
      <c r="B376" s="284" t="str">
        <f>("Cambio porcentual con relación al "&amp;$D$118&amp;".")</f>
        <v>Cambio porcentual con relación al 2024.</v>
      </c>
      <c r="C376" s="285"/>
      <c r="D376" s="171">
        <v>0</v>
      </c>
      <c r="E376" s="76">
        <f>IFERROR(+E374/D374,0)</f>
        <v>0</v>
      </c>
      <c r="J376" s="39"/>
      <c r="K376" s="39"/>
      <c r="N376" s="39"/>
      <c r="R376" s="40"/>
      <c r="S376" s="40"/>
      <c r="T376" s="40"/>
      <c r="U376" s="40"/>
      <c r="V376" s="40"/>
      <c r="W376" s="40"/>
      <c r="X376" s="40"/>
      <c r="Y376" s="40"/>
      <c r="Z376" s="39"/>
    </row>
    <row r="377" spans="2:26" s="35" customFormat="1" x14ac:dyDescent="0.25">
      <c r="B377" s="160"/>
      <c r="C377" s="160"/>
      <c r="D377" s="172"/>
      <c r="E377" s="162"/>
      <c r="J377" s="39"/>
      <c r="K377" s="39"/>
      <c r="N377" s="39"/>
      <c r="R377" s="40"/>
      <c r="S377" s="40"/>
      <c r="T377" s="40"/>
      <c r="U377" s="40"/>
      <c r="V377" s="40"/>
      <c r="W377" s="40"/>
      <c r="X377" s="40"/>
      <c r="Y377" s="40"/>
      <c r="Z377" s="39"/>
    </row>
    <row r="378" spans="2:26" s="35" customFormat="1" x14ac:dyDescent="0.25">
      <c r="B378" s="298" t="s">
        <v>157</v>
      </c>
      <c r="C378" s="298"/>
      <c r="D378" s="298"/>
      <c r="E378" s="298"/>
      <c r="J378" s="39"/>
      <c r="K378" s="39"/>
      <c r="N378" s="39"/>
      <c r="R378" s="40"/>
      <c r="S378" s="40"/>
      <c r="T378" s="40"/>
      <c r="U378" s="40"/>
      <c r="V378" s="40"/>
      <c r="W378" s="40"/>
      <c r="X378" s="40"/>
      <c r="Y378" s="40"/>
      <c r="Z378" s="39"/>
    </row>
    <row r="379" spans="2:26" s="35" customFormat="1" x14ac:dyDescent="0.25">
      <c r="B379" s="160"/>
      <c r="C379" s="160"/>
      <c r="D379" s="172"/>
      <c r="E379" s="162"/>
      <c r="J379" s="39"/>
      <c r="K379" s="39"/>
      <c r="N379" s="39"/>
      <c r="R379" s="40"/>
      <c r="S379" s="40"/>
      <c r="T379" s="40"/>
      <c r="U379" s="40"/>
      <c r="V379" s="40"/>
      <c r="W379" s="40"/>
      <c r="X379" s="40"/>
      <c r="Y379" s="40"/>
      <c r="Z379" s="39"/>
    </row>
    <row r="380" spans="2:26" s="35" customFormat="1" x14ac:dyDescent="0.25">
      <c r="B380" s="160"/>
      <c r="C380" s="160"/>
      <c r="D380" s="172"/>
      <c r="E380" s="162"/>
      <c r="J380" s="39"/>
      <c r="K380" s="39"/>
      <c r="N380" s="39"/>
      <c r="R380" s="40"/>
      <c r="S380" s="40"/>
      <c r="T380" s="40"/>
      <c r="U380" s="40"/>
      <c r="V380" s="40"/>
      <c r="W380" s="40"/>
      <c r="X380" s="40"/>
      <c r="Y380" s="40"/>
      <c r="Z380" s="39"/>
    </row>
    <row r="381" spans="2:26" s="35" customFormat="1" x14ac:dyDescent="0.25">
      <c r="B381" s="160"/>
      <c r="C381" s="160"/>
      <c r="D381" s="172"/>
      <c r="E381" s="162"/>
      <c r="J381" s="39"/>
      <c r="K381" s="39"/>
      <c r="N381" s="39"/>
      <c r="R381" s="40"/>
      <c r="S381" s="40"/>
      <c r="T381" s="40"/>
      <c r="U381" s="40"/>
      <c r="V381" s="40"/>
      <c r="W381" s="40"/>
      <c r="X381" s="40"/>
      <c r="Y381" s="40"/>
      <c r="Z381" s="39"/>
    </row>
    <row r="382" spans="2:26" s="35" customFormat="1" x14ac:dyDescent="0.25">
      <c r="B382" s="160"/>
      <c r="C382" s="160"/>
      <c r="D382" s="172"/>
      <c r="E382" s="162"/>
      <c r="J382" s="39"/>
      <c r="K382" s="39"/>
      <c r="N382" s="39"/>
      <c r="R382" s="40"/>
      <c r="S382" s="40"/>
      <c r="T382" s="40"/>
      <c r="U382" s="40"/>
      <c r="V382" s="40"/>
      <c r="W382" s="40"/>
      <c r="X382" s="40"/>
      <c r="Y382" s="40"/>
      <c r="Z382" s="39"/>
    </row>
    <row r="383" spans="2:26" s="35" customFormat="1" ht="8.25" customHeight="1" x14ac:dyDescent="0.25">
      <c r="B383" s="173"/>
      <c r="C383" s="173"/>
      <c r="D383" s="174"/>
      <c r="E383" s="175"/>
      <c r="J383" s="39"/>
      <c r="K383" s="39"/>
      <c r="N383" s="39"/>
      <c r="R383" s="40"/>
      <c r="S383" s="40"/>
      <c r="T383" s="40"/>
      <c r="U383" s="40"/>
      <c r="V383" s="40"/>
      <c r="W383" s="40"/>
      <c r="X383" s="40"/>
      <c r="Y383" s="40"/>
      <c r="Z383" s="39"/>
    </row>
    <row r="384" spans="2:26" x14ac:dyDescent="0.25">
      <c r="B384" s="176" t="s">
        <v>214</v>
      </c>
      <c r="C384" s="177"/>
      <c r="D384" s="178"/>
      <c r="E384" s="177"/>
    </row>
    <row r="385" spans="2:26" ht="21.75" customHeight="1" x14ac:dyDescent="0.25">
      <c r="B385" s="295" t="s">
        <v>215</v>
      </c>
      <c r="C385" s="295"/>
      <c r="D385" s="295"/>
      <c r="E385" s="295"/>
    </row>
    <row r="386" spans="2:26" ht="27.75" customHeight="1" x14ac:dyDescent="0.25">
      <c r="B386" s="288" t="str">
        <f>("Un detalle de las  "&amp;B385&amp;" al "&amp;[1]BALANZA!$B$3&amp;" "&amp;[1]BALANZA!$C$3&amp;" es como se detalla a continuación:")</f>
        <v>Un detalle de las  Cuentas por pagar a corto plazo al 31 de Diciembre del 2025 - 2024 es como se detalla a continuación:</v>
      </c>
      <c r="C386" s="289"/>
      <c r="D386" s="289"/>
      <c r="E386" s="289"/>
    </row>
    <row r="387" spans="2:26" ht="59.25" customHeight="1" x14ac:dyDescent="0.25">
      <c r="B387" s="283" t="str">
        <f>("Las Cuentas por Pagar está integrado por las deudas y compromisos de pago que tiene la institución con los suplidores de servicios, retenciones impositivas y documentos por pagar, con un aumento en el "&amp;C390&amp;"  el total era de RD$ "&amp;R394&amp;" y para el "&amp;D390&amp;" el total fue de RD$ "&amp;R395&amp;" , Según el siguiente detalle:")</f>
        <v>Las Cuentas por Pagar está integrado por las deudas y compromisos de pago que tiene la institución con los suplidores de servicios, retenciones impositivas y documentos por pagar, con un aumento en el 2025  el total era de RD$ 8,951,565.09 y para el 2024 el total fue de RD$ 15,390,184.53 , Según el siguiente detalle:</v>
      </c>
      <c r="C387" s="283"/>
      <c r="D387" s="283"/>
      <c r="E387" s="283"/>
    </row>
    <row r="388" spans="2:26" ht="45" customHeight="1" x14ac:dyDescent="0.25">
      <c r="B388" s="288" t="s">
        <v>216</v>
      </c>
      <c r="C388" s="288"/>
      <c r="D388" s="288"/>
      <c r="E388" s="288"/>
    </row>
    <row r="389" spans="2:26" x14ac:dyDescent="0.25">
      <c r="B389" s="10" t="s">
        <v>217</v>
      </c>
    </row>
    <row r="390" spans="2:26" x14ac:dyDescent="0.25">
      <c r="B390" s="179" t="s">
        <v>218</v>
      </c>
      <c r="C390" s="164">
        <f>+[1]BALANZA!B4</f>
        <v>2025</v>
      </c>
      <c r="D390" s="164">
        <f>+[1]BALANZA!C4</f>
        <v>2024</v>
      </c>
      <c r="E390" s="180" t="s">
        <v>219</v>
      </c>
      <c r="K390" s="2">
        <f>+D391+D392+K393</f>
        <v>13947930.439999999</v>
      </c>
    </row>
    <row r="391" spans="2:26" x14ac:dyDescent="0.25">
      <c r="B391" s="145" t="s">
        <v>220</v>
      </c>
      <c r="C391" s="79">
        <f>+'[1]BALANZA G'!C108-C392</f>
        <v>1310572.58</v>
      </c>
      <c r="D391" s="79">
        <f>+'[1]BALANZA G'!D108-D392</f>
        <v>13147066.369999999</v>
      </c>
      <c r="E391" s="34">
        <f>+C391-D391</f>
        <v>-11836493.789999999</v>
      </c>
      <c r="K391" s="2">
        <v>930.44</v>
      </c>
    </row>
    <row r="392" spans="2:26" x14ac:dyDescent="0.25">
      <c r="B392" s="145" t="s">
        <v>221</v>
      </c>
      <c r="C392" s="181">
        <f>6840992.51+800000</f>
        <v>7640992.5099999998</v>
      </c>
      <c r="D392" s="79">
        <v>800000</v>
      </c>
      <c r="E392" s="34">
        <f>+C392-D392</f>
        <v>6840992.5099999998</v>
      </c>
      <c r="K392" s="2">
        <v>66.37</v>
      </c>
    </row>
    <row r="393" spans="2:26" x14ac:dyDescent="0.25">
      <c r="B393" s="145" t="s">
        <v>222</v>
      </c>
      <c r="C393" s="181">
        <f>+'[1]BALANZA G'!C109+'[1]BALANZA G'!C110</f>
        <v>0</v>
      </c>
      <c r="D393" s="79">
        <f>+'[1]BALANZA G'!D109+'[1]BALANZA G'!D110</f>
        <v>1443118.16</v>
      </c>
      <c r="E393" s="34">
        <f>+C393-D393</f>
        <v>-1443118.16</v>
      </c>
      <c r="K393" s="2">
        <f>+K391-K392</f>
        <v>864.07</v>
      </c>
    </row>
    <row r="394" spans="2:26" x14ac:dyDescent="0.25">
      <c r="B394" s="179" t="s">
        <v>223</v>
      </c>
      <c r="C394" s="107">
        <f>SUM(C391:C393)</f>
        <v>8951565.0899999999</v>
      </c>
      <c r="D394" s="182">
        <f>SUM(D391:D393)</f>
        <v>15390184.529999999</v>
      </c>
      <c r="E394" s="107">
        <f>SUM(E391:E393)</f>
        <v>-6438619.4399999995</v>
      </c>
      <c r="R394" s="3" t="str">
        <f>+CONCATENATE(S394,",",T394,",",U394,V394,AB394,"")</f>
        <v>8,951,565.09</v>
      </c>
      <c r="S394" s="3" t="str">
        <f>MID(C394,1,1)</f>
        <v>8</v>
      </c>
      <c r="T394" s="3" t="str">
        <f>MID(C394,2,3)</f>
        <v>951</v>
      </c>
      <c r="U394" s="3" t="str">
        <f>MID(C394,5,3)</f>
        <v>565</v>
      </c>
      <c r="V394" s="3" t="str">
        <f>MID(C394,8,3)</f>
        <v>.09</v>
      </c>
    </row>
    <row r="395" spans="2:26" x14ac:dyDescent="0.25">
      <c r="B395" s="183"/>
      <c r="C395" s="184"/>
      <c r="D395" s="185"/>
      <c r="R395" s="3" t="str">
        <f>+CONCATENATE(S395,",",T395,",",U395,V395,AB395)</f>
        <v>15,390,184.53</v>
      </c>
      <c r="S395" s="3" t="str">
        <f>MID(D394,1,2)</f>
        <v>15</v>
      </c>
      <c r="T395" s="3" t="str">
        <f>MID(D394,3,3)</f>
        <v>390</v>
      </c>
      <c r="U395" s="3" t="str">
        <f>MID(D394,6,3)</f>
        <v>184</v>
      </c>
      <c r="V395" s="3" t="str">
        <f>MID(D394,9,3)</f>
        <v>.53</v>
      </c>
    </row>
    <row r="396" spans="2:26" s="35" customFormat="1" x14ac:dyDescent="0.25">
      <c r="B396" s="284" t="str">
        <f>("Cambio porcentual con relación al "&amp;$D$118&amp;".")</f>
        <v>Cambio porcentual con relación al 2024.</v>
      </c>
      <c r="C396" s="285"/>
      <c r="D396" s="45" t="str">
        <f>IF(E396&gt;=0,"Aumento","Disminución")</f>
        <v>Disminución</v>
      </c>
      <c r="E396" s="76">
        <f>+E394/D394</f>
        <v>-0.4183588200290409</v>
      </c>
      <c r="J396" s="39"/>
      <c r="K396" s="39"/>
      <c r="N396" s="39"/>
      <c r="R396" s="40"/>
      <c r="S396" s="40"/>
      <c r="T396" s="40"/>
      <c r="U396" s="40"/>
      <c r="V396" s="40"/>
      <c r="W396" s="40"/>
      <c r="X396" s="40"/>
      <c r="Y396" s="40"/>
      <c r="Z396" s="39"/>
    </row>
    <row r="397" spans="2:26" ht="22.5" customHeight="1" x14ac:dyDescent="0.25">
      <c r="B397" s="295" t="s">
        <v>224</v>
      </c>
      <c r="C397" s="295"/>
      <c r="D397" s="295"/>
      <c r="E397" s="295"/>
    </row>
    <row r="398" spans="2:26" ht="12.75" customHeight="1" x14ac:dyDescent="0.25">
      <c r="B398" s="186"/>
      <c r="C398" s="186"/>
      <c r="D398" s="187"/>
      <c r="E398" s="186"/>
    </row>
    <row r="399" spans="2:26" hidden="1" x14ac:dyDescent="0.25">
      <c r="B399" s="52" t="s">
        <v>225</v>
      </c>
    </row>
    <row r="400" spans="2:26" ht="24" hidden="1" customHeight="1" x14ac:dyDescent="0.25">
      <c r="B400" s="283" t="str">
        <f>+B137</f>
        <v>Un detalle del Inversiones a corto plazo al 31 de Diciembre del 2025 - 2024 es como se detalla a continuación:</v>
      </c>
      <c r="C400" s="283"/>
      <c r="D400" s="283"/>
      <c r="E400" s="283"/>
    </row>
    <row r="401" spans="2:26" ht="78" hidden="1" customHeight="1" x14ac:dyDescent="0.25">
      <c r="B401" s="283" t="str">
        <f>("Los Prestamos por Pagar está integrado por las deudas y compromisos de pago que tiene la institución con los bancos, para el "&amp;C403&amp;" el total era de RD$"&amp;C405&amp;" y para el "&amp;D403&amp;" el total fue de RD$"&amp;D405&amp;" , Según el siguiente detalle:")</f>
        <v>Los Prestamos por Pagar está integrado por las deudas y compromisos de pago que tiene la institución con los bancos, para el 2025 el total era de RD$0 y para el 2024 el total fue de RD$0 , Según el siguiente detalle:</v>
      </c>
      <c r="C401" s="283"/>
      <c r="D401" s="283"/>
      <c r="E401" s="283"/>
    </row>
    <row r="402" spans="2:26" hidden="1" x14ac:dyDescent="0.25">
      <c r="B402" s="10" t="s">
        <v>217</v>
      </c>
    </row>
    <row r="403" spans="2:26" hidden="1" x14ac:dyDescent="0.25">
      <c r="B403" s="179" t="s">
        <v>218</v>
      </c>
      <c r="C403" s="164">
        <f>+C140</f>
        <v>2025</v>
      </c>
      <c r="D403" s="188">
        <f>+D140</f>
        <v>2024</v>
      </c>
      <c r="E403" s="180" t="s">
        <v>219</v>
      </c>
    </row>
    <row r="404" spans="2:26" hidden="1" x14ac:dyDescent="0.25">
      <c r="B404" s="145" t="s">
        <v>226</v>
      </c>
      <c r="C404" s="70">
        <f>+'[1]BALANZA G'!C119</f>
        <v>0</v>
      </c>
      <c r="D404" s="79">
        <f>+'[1]BALANZA G'!D119</f>
        <v>0</v>
      </c>
      <c r="E404" s="69">
        <f>+C404-D404</f>
        <v>0</v>
      </c>
    </row>
    <row r="405" spans="2:26" hidden="1" x14ac:dyDescent="0.25">
      <c r="B405" s="179" t="s">
        <v>227</v>
      </c>
      <c r="C405" s="107">
        <f>SUM(C404:C404)</f>
        <v>0</v>
      </c>
      <c r="D405" s="182">
        <f>SUM(D404:D404)</f>
        <v>0</v>
      </c>
      <c r="E405" s="107">
        <f>SUM(E404:E404)</f>
        <v>0</v>
      </c>
    </row>
    <row r="406" spans="2:26" hidden="1" x14ac:dyDescent="0.25">
      <c r="B406" s="183"/>
      <c r="C406" s="73"/>
      <c r="D406" s="185"/>
    </row>
    <row r="407" spans="2:26" s="35" customFormat="1" hidden="1" x14ac:dyDescent="0.25">
      <c r="B407" s="296" t="s">
        <v>228</v>
      </c>
      <c r="C407" s="297"/>
      <c r="D407" s="45" t="e">
        <f>IF(E407&gt;=0,"Aumento","Disminución")</f>
        <v>#DIV/0!</v>
      </c>
      <c r="E407" s="76" t="e">
        <f>+E405/D405</f>
        <v>#DIV/0!</v>
      </c>
      <c r="J407" s="39"/>
      <c r="K407" s="39"/>
      <c r="N407" s="39"/>
      <c r="R407" s="40"/>
      <c r="S407" s="40"/>
      <c r="T407" s="40"/>
      <c r="U407" s="40"/>
      <c r="V407" s="40"/>
      <c r="W407" s="40"/>
      <c r="X407" s="40"/>
      <c r="Y407" s="40"/>
      <c r="Z407" s="39"/>
    </row>
    <row r="408" spans="2:26" s="35" customFormat="1" x14ac:dyDescent="0.25">
      <c r="B408" s="50"/>
      <c r="C408" s="50"/>
      <c r="D408" s="48"/>
      <c r="E408" s="51"/>
      <c r="J408" s="39"/>
      <c r="K408" s="39"/>
      <c r="N408" s="39"/>
      <c r="R408" s="40"/>
      <c r="S408" s="40"/>
      <c r="T408" s="40"/>
      <c r="U408" s="40"/>
      <c r="V408" s="40"/>
      <c r="W408" s="40"/>
      <c r="X408" s="40"/>
      <c r="Y408" s="40"/>
      <c r="Z408" s="39"/>
    </row>
    <row r="409" spans="2:26" s="35" customFormat="1" x14ac:dyDescent="0.25">
      <c r="B409" s="50"/>
      <c r="C409" s="50"/>
      <c r="D409" s="48"/>
      <c r="E409" s="51"/>
      <c r="J409" s="39"/>
      <c r="K409" s="39"/>
      <c r="N409" s="39"/>
      <c r="R409" s="40"/>
      <c r="S409" s="40"/>
      <c r="T409" s="40"/>
      <c r="U409" s="40"/>
      <c r="V409" s="40"/>
      <c r="W409" s="40"/>
      <c r="X409" s="40"/>
      <c r="Y409" s="40"/>
      <c r="Z409" s="39"/>
    </row>
    <row r="410" spans="2:26" s="35" customFormat="1" x14ac:dyDescent="0.25">
      <c r="B410" s="50"/>
      <c r="C410" s="50"/>
      <c r="D410" s="48"/>
      <c r="E410" s="51"/>
      <c r="J410" s="39"/>
      <c r="K410" s="39"/>
      <c r="N410" s="39"/>
      <c r="R410" s="40"/>
      <c r="S410" s="40"/>
      <c r="T410" s="40"/>
      <c r="U410" s="40"/>
      <c r="V410" s="40"/>
      <c r="W410" s="40"/>
      <c r="X410" s="40"/>
      <c r="Y410" s="40"/>
      <c r="Z410" s="39"/>
    </row>
    <row r="411" spans="2:26" s="35" customFormat="1" x14ac:dyDescent="0.25">
      <c r="B411" s="50"/>
      <c r="C411" s="50"/>
      <c r="D411" s="48"/>
      <c r="E411" s="51"/>
      <c r="J411" s="39"/>
      <c r="K411" s="39"/>
      <c r="N411" s="39"/>
      <c r="R411" s="40"/>
      <c r="S411" s="40"/>
      <c r="T411" s="40"/>
      <c r="U411" s="40"/>
      <c r="V411" s="40"/>
      <c r="W411" s="40"/>
      <c r="X411" s="40"/>
      <c r="Y411" s="40"/>
      <c r="Z411" s="39"/>
    </row>
    <row r="412" spans="2:26" s="35" customFormat="1" x14ac:dyDescent="0.25">
      <c r="B412" s="50"/>
      <c r="C412" s="50"/>
      <c r="D412" s="48"/>
      <c r="E412" s="51"/>
      <c r="J412" s="39"/>
      <c r="K412" s="39"/>
      <c r="N412" s="39"/>
      <c r="R412" s="40"/>
      <c r="S412" s="40"/>
      <c r="T412" s="40"/>
      <c r="U412" s="40"/>
      <c r="V412" s="40"/>
      <c r="W412" s="40"/>
      <c r="X412" s="40"/>
      <c r="Y412" s="40"/>
      <c r="Z412" s="39"/>
    </row>
    <row r="413" spans="2:26" s="35" customFormat="1" x14ac:dyDescent="0.25">
      <c r="B413" s="50"/>
      <c r="C413" s="50"/>
      <c r="D413" s="48"/>
      <c r="E413" s="51"/>
      <c r="J413" s="39"/>
      <c r="K413" s="39"/>
      <c r="N413" s="39"/>
      <c r="R413" s="40"/>
      <c r="S413" s="40"/>
      <c r="T413" s="40"/>
      <c r="U413" s="40"/>
      <c r="V413" s="40"/>
      <c r="W413" s="40"/>
      <c r="X413" s="40"/>
      <c r="Y413" s="40"/>
      <c r="Z413" s="39"/>
    </row>
    <row r="414" spans="2:26" s="35" customFormat="1" x14ac:dyDescent="0.25">
      <c r="B414" s="50"/>
      <c r="C414" s="50"/>
      <c r="D414" s="48"/>
      <c r="E414" s="51"/>
      <c r="J414" s="39"/>
      <c r="K414" s="39"/>
      <c r="N414" s="39"/>
      <c r="R414" s="40"/>
      <c r="S414" s="40"/>
      <c r="T414" s="40"/>
      <c r="U414" s="40"/>
      <c r="V414" s="40"/>
      <c r="W414" s="40"/>
      <c r="X414" s="40"/>
      <c r="Y414" s="40"/>
      <c r="Z414" s="39"/>
    </row>
    <row r="415" spans="2:26" s="35" customFormat="1" x14ac:dyDescent="0.25">
      <c r="B415" s="50"/>
      <c r="C415" s="50"/>
      <c r="D415" s="48"/>
      <c r="E415" s="51"/>
      <c r="J415" s="39"/>
      <c r="K415" s="39"/>
      <c r="N415" s="39"/>
      <c r="R415" s="40"/>
      <c r="S415" s="40"/>
      <c r="T415" s="40"/>
      <c r="U415" s="40"/>
      <c r="V415" s="40"/>
      <c r="W415" s="40"/>
      <c r="X415" s="40"/>
      <c r="Y415" s="40"/>
      <c r="Z415" s="39"/>
    </row>
    <row r="416" spans="2:26" s="35" customFormat="1" x14ac:dyDescent="0.25">
      <c r="B416" s="50"/>
      <c r="C416" s="50"/>
      <c r="D416" s="48"/>
      <c r="E416" s="51"/>
      <c r="J416" s="39"/>
      <c r="K416" s="39"/>
      <c r="N416" s="39"/>
      <c r="R416" s="40"/>
      <c r="S416" s="40"/>
      <c r="T416" s="40"/>
      <c r="U416" s="40"/>
      <c r="V416" s="40"/>
      <c r="W416" s="40"/>
      <c r="X416" s="40"/>
      <c r="Y416" s="40"/>
      <c r="Z416" s="39"/>
    </row>
    <row r="417" spans="2:26" s="35" customFormat="1" x14ac:dyDescent="0.25">
      <c r="B417" s="50"/>
      <c r="C417" s="50"/>
      <c r="D417" s="48"/>
      <c r="E417" s="51"/>
      <c r="J417" s="39"/>
      <c r="K417" s="39"/>
      <c r="N417" s="39"/>
      <c r="R417" s="40"/>
      <c r="S417" s="40"/>
      <c r="T417" s="40"/>
      <c r="U417" s="40"/>
      <c r="V417" s="40"/>
      <c r="W417" s="40"/>
      <c r="X417" s="40"/>
      <c r="Y417" s="40"/>
      <c r="Z417" s="39"/>
    </row>
    <row r="418" spans="2:26" s="35" customFormat="1" x14ac:dyDescent="0.25">
      <c r="B418" s="50"/>
      <c r="C418" s="50"/>
      <c r="D418" s="48"/>
      <c r="E418" s="51"/>
      <c r="J418" s="39"/>
      <c r="K418" s="39"/>
      <c r="N418" s="39"/>
      <c r="R418" s="40"/>
      <c r="S418" s="40"/>
      <c r="T418" s="40"/>
      <c r="U418" s="40"/>
      <c r="V418" s="40"/>
      <c r="W418" s="40"/>
      <c r="X418" s="40"/>
      <c r="Y418" s="40"/>
      <c r="Z418" s="39"/>
    </row>
    <row r="419" spans="2:26" s="35" customFormat="1" ht="17.25" customHeight="1" x14ac:dyDescent="0.25">
      <c r="B419" s="50" t="s">
        <v>229</v>
      </c>
      <c r="C419" s="50"/>
      <c r="D419" s="48"/>
      <c r="E419" s="51"/>
      <c r="J419" s="39"/>
      <c r="K419" s="39"/>
      <c r="N419" s="39"/>
      <c r="R419" s="40"/>
      <c r="S419" s="40"/>
      <c r="T419" s="40"/>
      <c r="U419" s="40"/>
      <c r="V419" s="40"/>
      <c r="W419" s="40"/>
      <c r="X419" s="40"/>
      <c r="Y419" s="40"/>
      <c r="Z419" s="39"/>
    </row>
    <row r="420" spans="2:26" s="35" customFormat="1" ht="17.25" customHeight="1" x14ac:dyDescent="0.25">
      <c r="B420" s="50" t="s">
        <v>230</v>
      </c>
      <c r="C420" s="50"/>
      <c r="D420" s="48"/>
      <c r="E420" s="51"/>
      <c r="J420" s="39"/>
      <c r="K420" s="39"/>
      <c r="N420" s="39"/>
      <c r="R420" s="40"/>
      <c r="S420" s="40"/>
      <c r="T420" s="40"/>
      <c r="U420" s="40"/>
      <c r="V420" s="40"/>
      <c r="W420" s="40"/>
      <c r="X420" s="40"/>
      <c r="Y420" s="40"/>
      <c r="Z420" s="39"/>
    </row>
    <row r="421" spans="2:26" x14ac:dyDescent="0.25">
      <c r="B421" s="52" t="s">
        <v>231</v>
      </c>
    </row>
    <row r="422" spans="2:26" ht="20.25" customHeight="1" x14ac:dyDescent="0.25">
      <c r="B422" s="288" t="str">
        <f>("Un detalle de las  "&amp;B421&amp;" al "&amp;[1]BALANZA!$B$3&amp;" "&amp;[1]BALANZA!$C$3&amp;" es como se detalla a continuación:")</f>
        <v>Un detalle de las  Acumulaciones por pagar al 31 de Diciembre del 2025 - 2024 es como se detalla a continuación:</v>
      </c>
      <c r="C422" s="289"/>
      <c r="D422" s="289"/>
      <c r="E422" s="289"/>
    </row>
    <row r="423" spans="2:26" ht="36" customHeight="1" x14ac:dyDescent="0.25">
      <c r="B423" s="283" t="str">
        <f>("Las acumulaciones por pagar para el "&amp;C425&amp;" el total era RD$ "&amp;R429&amp;" y para el "&amp;D425&amp;" el total fue de RD$ "&amp;R430&amp;" , Según el siguiente detalle:")</f>
        <v>Las acumulaciones por pagar para el 2025 el total era RD$ 0.00 y para el 2024 el total fue de RD$ 252,299.30 , Según el siguiente detalle:</v>
      </c>
      <c r="C423" s="283"/>
      <c r="D423" s="283"/>
      <c r="E423" s="283"/>
    </row>
    <row r="424" spans="2:26" ht="9" customHeight="1" x14ac:dyDescent="0.25">
      <c r="B424" s="294"/>
      <c r="C424" s="294"/>
      <c r="D424" s="294"/>
      <c r="E424" s="294"/>
    </row>
    <row r="425" spans="2:26" x14ac:dyDescent="0.25">
      <c r="B425" s="179" t="s">
        <v>218</v>
      </c>
      <c r="C425" s="164">
        <f>+C140</f>
        <v>2025</v>
      </c>
      <c r="D425" s="164">
        <f>+D140</f>
        <v>2024</v>
      </c>
      <c r="E425" s="180" t="s">
        <v>219</v>
      </c>
    </row>
    <row r="426" spans="2:26" x14ac:dyDescent="0.25">
      <c r="B426" s="145" t="s">
        <v>232</v>
      </c>
      <c r="C426" s="79">
        <f>+'[1]BALANZA G'!C115+'[1]BALANZA G'!C116</f>
        <v>0</v>
      </c>
      <c r="D426" s="79">
        <f>+'[1]BALANZA G'!D115+'[1]BALANZA G'!D116</f>
        <v>252299.3</v>
      </c>
      <c r="E426" s="34">
        <f>+C426-D426</f>
        <v>-252299.3</v>
      </c>
    </row>
    <row r="427" spans="2:26" ht="14.25" customHeight="1" x14ac:dyDescent="0.25">
      <c r="B427" s="145" t="s">
        <v>233</v>
      </c>
      <c r="C427" s="79">
        <f>+'[1]BALANZA G'!C105+'[1]BALANZA G'!C106</f>
        <v>0</v>
      </c>
      <c r="D427" s="79">
        <f>+'[1]BALANZA G'!D105+'[1]BALANZA G'!D106</f>
        <v>0</v>
      </c>
      <c r="E427" s="34">
        <f>+C427-D427</f>
        <v>0</v>
      </c>
    </row>
    <row r="428" spans="2:26" hidden="1" x14ac:dyDescent="0.25">
      <c r="B428" s="145"/>
      <c r="C428" s="79"/>
      <c r="D428" s="79"/>
      <c r="E428" s="34"/>
    </row>
    <row r="429" spans="2:26" x14ac:dyDescent="0.25">
      <c r="B429" s="179" t="s">
        <v>234</v>
      </c>
      <c r="C429" s="182">
        <f>SUM(C426:C428)</f>
        <v>0</v>
      </c>
      <c r="D429" s="182">
        <f>SUM(D426:D428)</f>
        <v>252299.3</v>
      </c>
      <c r="E429" s="182">
        <f>SUM(E426:E428)</f>
        <v>-252299.3</v>
      </c>
      <c r="R429" s="3" t="str">
        <f>+CONCATENATE(T429,"",U429,"",V429,"0.00")</f>
        <v>0.00</v>
      </c>
      <c r="U429" s="3" t="str">
        <f>MID(C429,4,3)</f>
        <v/>
      </c>
      <c r="V429" s="3" t="str">
        <f>MID(C429,7,3)</f>
        <v/>
      </c>
    </row>
    <row r="430" spans="2:26" ht="10.5" customHeight="1" x14ac:dyDescent="0.25">
      <c r="B430" s="183"/>
      <c r="C430" s="82">
        <f>+C429-'[1]ES F '!B36+C446</f>
        <v>0</v>
      </c>
      <c r="D430" s="185"/>
      <c r="R430" s="3" t="str">
        <f>+CONCATENATE(S430,",",T430,U430,V430,AB430,"0")</f>
        <v>252,299.30</v>
      </c>
      <c r="S430" s="3" t="str">
        <f>MID(D429,1,3)</f>
        <v>252</v>
      </c>
      <c r="T430" s="3" t="str">
        <f>MID(D429,4,3)</f>
        <v>299</v>
      </c>
      <c r="U430" s="3" t="str">
        <f>MID(D429,7,3)</f>
        <v>.3</v>
      </c>
    </row>
    <row r="431" spans="2:26" s="35" customFormat="1" x14ac:dyDescent="0.25">
      <c r="B431" s="284" t="str">
        <f>("Cambio porcentual con relación al "&amp;$D$118&amp;".")</f>
        <v>Cambio porcentual con relación al 2024.</v>
      </c>
      <c r="C431" s="285"/>
      <c r="D431" s="45" t="str">
        <f>IF(E431&gt;=0,"Aumento","Disminución")</f>
        <v>Disminución</v>
      </c>
      <c r="E431" s="76">
        <f>+E429/D429</f>
        <v>-1</v>
      </c>
      <c r="J431" s="39"/>
      <c r="K431" s="39"/>
      <c r="N431" s="39"/>
      <c r="R431" s="40"/>
      <c r="S431" s="40"/>
      <c r="T431" s="40"/>
      <c r="U431" s="40"/>
      <c r="V431" s="40"/>
      <c r="W431" s="40"/>
      <c r="X431" s="40"/>
      <c r="Y431" s="40"/>
      <c r="Z431" s="39"/>
    </row>
    <row r="432" spans="2:26" s="35" customFormat="1" ht="6" customHeight="1" x14ac:dyDescent="0.25">
      <c r="B432" s="50"/>
      <c r="C432" s="50"/>
      <c r="D432" s="48"/>
      <c r="E432" s="51"/>
      <c r="J432" s="39"/>
      <c r="K432" s="39"/>
      <c r="N432" s="39"/>
      <c r="R432" s="40"/>
      <c r="S432" s="40"/>
      <c r="T432" s="40"/>
      <c r="U432" s="40"/>
      <c r="V432" s="40"/>
      <c r="W432" s="40"/>
      <c r="X432" s="40"/>
      <c r="Y432" s="40"/>
      <c r="Z432" s="39"/>
    </row>
    <row r="433" spans="2:28" ht="14.25" customHeight="1" x14ac:dyDescent="0.25">
      <c r="B433" s="52" t="s">
        <v>235</v>
      </c>
      <c r="C433" s="186"/>
      <c r="D433" s="186"/>
      <c r="E433" s="186"/>
    </row>
    <row r="434" spans="2:28" ht="24.75" customHeight="1" x14ac:dyDescent="0.25">
      <c r="B434" s="288" t="str">
        <f>("Un detalle de las "&amp;B433&amp;" al "&amp;[1]BALANZA!$B$3&amp;" "&amp;[1]BALANZA!$C$3&amp;" es como se detalla a continuación:")</f>
        <v>Un detalle de las Retenciones por pagar al 31 de Diciembre del 2025 - 2024 es como se detalla a continuación:</v>
      </c>
      <c r="C434" s="289"/>
      <c r="D434" s="289"/>
      <c r="E434" s="289"/>
    </row>
    <row r="435" spans="2:28" ht="29.25" customHeight="1" x14ac:dyDescent="0.25">
      <c r="B435" s="283" t="str">
        <f>("Las  retenciones impositivas  por pagar  para el "&amp;C438&amp;" el total era RD$ "&amp;R446&amp;" y para el "&amp;D438&amp;" el total fue de RD$ "&amp;R447&amp;" , Según el siguiente detalle:")</f>
        <v>Las  retenciones impositivas  por pagar  para el 2025 el total era RD$ 139,610.85 y para el 2024 el total fue de RD$ 0.00 , Según el siguiente detalle:</v>
      </c>
      <c r="C435" s="283"/>
      <c r="D435" s="283"/>
      <c r="E435" s="283"/>
    </row>
    <row r="436" spans="2:28" ht="6" customHeight="1" x14ac:dyDescent="0.25">
      <c r="B436" s="52"/>
      <c r="C436" s="186"/>
      <c r="D436" s="186"/>
      <c r="E436" s="186"/>
    </row>
    <row r="437" spans="2:28" ht="9.75" customHeight="1" x14ac:dyDescent="0.25">
      <c r="B437" s="52"/>
      <c r="C437" s="186"/>
      <c r="D437" s="186"/>
      <c r="E437" s="186"/>
    </row>
    <row r="438" spans="2:28" x14ac:dyDescent="0.25">
      <c r="B438" s="179" t="s">
        <v>218</v>
      </c>
      <c r="C438" s="164">
        <f>+C425</f>
        <v>2025</v>
      </c>
      <c r="D438" s="164">
        <f>+D425</f>
        <v>2024</v>
      </c>
      <c r="E438" s="189" t="s">
        <v>219</v>
      </c>
    </row>
    <row r="439" spans="2:28" hidden="1" x14ac:dyDescent="0.25">
      <c r="B439" s="102" t="s">
        <v>236</v>
      </c>
      <c r="C439" s="70">
        <f>+'[1]BALANZA G'!C95</f>
        <v>0</v>
      </c>
      <c r="D439" s="79">
        <f>+'[1]BALANZA G'!D95</f>
        <v>0</v>
      </c>
      <c r="E439" s="69">
        <f>+C439-D439</f>
        <v>0</v>
      </c>
    </row>
    <row r="440" spans="2:28" hidden="1" x14ac:dyDescent="0.25">
      <c r="B440" s="102" t="s">
        <v>237</v>
      </c>
      <c r="C440" s="70">
        <f>+'[1]BALANZA G'!C97</f>
        <v>0</v>
      </c>
      <c r="D440" s="79">
        <f>+'[1]BALANZA G'!D97</f>
        <v>0</v>
      </c>
      <c r="E440" s="69">
        <f t="shared" ref="E440:E445" si="2">+C440-D440</f>
        <v>0</v>
      </c>
    </row>
    <row r="441" spans="2:28" hidden="1" x14ac:dyDescent="0.25">
      <c r="B441" s="102" t="s">
        <v>238</v>
      </c>
      <c r="C441" s="70">
        <f>+'[1]BALANZA G'!C98</f>
        <v>11361</v>
      </c>
      <c r="D441" s="79">
        <f>+'[1]BALANZA G'!D98</f>
        <v>0</v>
      </c>
      <c r="E441" s="69">
        <f t="shared" si="2"/>
        <v>11361</v>
      </c>
    </row>
    <row r="442" spans="2:28" x14ac:dyDescent="0.25">
      <c r="B442" s="102" t="s">
        <v>239</v>
      </c>
      <c r="C442" s="70">
        <f>+'[1]BALANZA G'!C99</f>
        <v>0</v>
      </c>
      <c r="D442" s="79">
        <f>+'[1]BALANZA G'!D99</f>
        <v>0</v>
      </c>
      <c r="E442" s="69">
        <f t="shared" si="2"/>
        <v>0</v>
      </c>
    </row>
    <row r="443" spans="2:28" x14ac:dyDescent="0.25">
      <c r="B443" s="102" t="s">
        <v>240</v>
      </c>
      <c r="C443" s="70">
        <f>+'[1]BALANZA G'!C100</f>
        <v>56304.6</v>
      </c>
      <c r="D443" s="79">
        <f>+'[1]BALANZA G'!D100</f>
        <v>0</v>
      </c>
      <c r="E443" s="69">
        <f t="shared" si="2"/>
        <v>56304.6</v>
      </c>
    </row>
    <row r="444" spans="2:28" x14ac:dyDescent="0.25">
      <c r="B444" s="102" t="s">
        <v>241</v>
      </c>
      <c r="C444" s="70">
        <f>+'[1]BALANZA G'!C101+'[1]BALANZA G'!C96</f>
        <v>0</v>
      </c>
      <c r="D444" s="70">
        <f>+'[1]BALANZA G'!D101+'[1]BALANZA G'!D96+0.001</f>
        <v>1E-3</v>
      </c>
      <c r="E444" s="69">
        <f t="shared" si="2"/>
        <v>-1E-3</v>
      </c>
    </row>
    <row r="445" spans="2:28" x14ac:dyDescent="0.25">
      <c r="B445" s="102" t="s">
        <v>242</v>
      </c>
      <c r="C445" s="70">
        <f>+'[1]BALANZA G'!C102</f>
        <v>71945.25</v>
      </c>
      <c r="D445" s="79">
        <f>+'[1]BALANZA G'!D102</f>
        <v>0</v>
      </c>
      <c r="E445" s="69">
        <f t="shared" si="2"/>
        <v>71945.25</v>
      </c>
    </row>
    <row r="446" spans="2:28" x14ac:dyDescent="0.25">
      <c r="B446" s="179" t="s">
        <v>243</v>
      </c>
      <c r="C446" s="107">
        <f>SUM(C439:C445)</f>
        <v>139610.85</v>
      </c>
      <c r="D446" s="182">
        <f>SUM(D439:D445)</f>
        <v>1E-3</v>
      </c>
      <c r="E446" s="107">
        <f>SUM(E439:E445)</f>
        <v>139610.84899999999</v>
      </c>
      <c r="R446" s="3" t="str">
        <f>+CONCATENATE(T446,",",U446,"",V446,AB446)</f>
        <v>139,610.85</v>
      </c>
      <c r="T446" s="3" t="str">
        <f>MID(C446,1,3)</f>
        <v>139</v>
      </c>
      <c r="U446" s="3" t="str">
        <f>MID(C446,4,3)</f>
        <v>610</v>
      </c>
      <c r="V446" s="3" t="str">
        <f>MID(C446,7,3)</f>
        <v>.85</v>
      </c>
      <c r="Z446" s="1"/>
      <c r="AA446" s="1" t="str">
        <f>MID(H446,7,3)</f>
        <v/>
      </c>
      <c r="AB446" s="1" t="str">
        <f>MID(C446,10,3)</f>
        <v/>
      </c>
    </row>
    <row r="447" spans="2:28" ht="6" customHeight="1" x14ac:dyDescent="0.25">
      <c r="B447" s="183"/>
      <c r="C447" s="82">
        <f>+C446-'[1]ES F '!B36+C429</f>
        <v>0</v>
      </c>
      <c r="D447" s="185"/>
      <c r="R447" s="3" t="str">
        <f>+CONCATENATE(S447,,T447,"0",U447,V447,AB447)</f>
        <v>0.00</v>
      </c>
      <c r="T447" s="3" t="str">
        <f>MID(D446,1,3)</f>
        <v>0.0</v>
      </c>
      <c r="V447" s="3" t="str">
        <f>MID(D446,7,3)</f>
        <v/>
      </c>
      <c r="W447" s="3" t="str">
        <f>MID(H446,1,3)</f>
        <v/>
      </c>
      <c r="X447" s="3" t="str">
        <f>MID(I446,1,3)</f>
        <v/>
      </c>
      <c r="Y447" s="3" t="str">
        <f>MID(J446,1,3)</f>
        <v/>
      </c>
      <c r="Z447" s="1"/>
      <c r="AA447" s="1" t="str">
        <f>MID(L446,1,3)</f>
        <v/>
      </c>
      <c r="AB447" s="1" t="str">
        <f>MID(D446,11,3)</f>
        <v/>
      </c>
    </row>
    <row r="448" spans="2:28" ht="14.25" customHeight="1" x14ac:dyDescent="0.25">
      <c r="B448" s="284" t="str">
        <f>("Cambio porcentual con relación al "&amp;$D$118&amp;".")</f>
        <v>Cambio porcentual con relación al 2024.</v>
      </c>
      <c r="C448" s="285"/>
      <c r="D448" s="45" t="str">
        <f>IF(E448&gt;=0,"Aumento","Disminución")</f>
        <v>Aumento</v>
      </c>
      <c r="E448" s="190">
        <v>1</v>
      </c>
    </row>
    <row r="449" spans="2:27" ht="7.5" customHeight="1" x14ac:dyDescent="0.25">
      <c r="B449" s="186"/>
      <c r="C449" s="186"/>
      <c r="D449" s="186"/>
      <c r="E449" s="186"/>
    </row>
    <row r="450" spans="2:27" ht="16.5" customHeight="1" x14ac:dyDescent="0.25">
      <c r="B450" s="191" t="s">
        <v>244</v>
      </c>
      <c r="C450" s="192">
        <f>+C446+C429</f>
        <v>139610.85</v>
      </c>
      <c r="D450" s="192">
        <f>+D446+D429</f>
        <v>252299.30099999998</v>
      </c>
      <c r="E450" s="107">
        <f>SUM(E443:E449)</f>
        <v>267861.69799999997</v>
      </c>
    </row>
    <row r="451" spans="2:27" ht="14.25" customHeight="1" x14ac:dyDescent="0.25">
      <c r="B451" s="186"/>
      <c r="C451" s="186"/>
      <c r="D451" s="186"/>
      <c r="E451" s="186"/>
    </row>
    <row r="452" spans="2:27" ht="14.25" customHeight="1" x14ac:dyDescent="0.25">
      <c r="B452" s="52" t="s">
        <v>245</v>
      </c>
      <c r="C452" s="186"/>
      <c r="D452" s="186"/>
      <c r="E452" s="186"/>
    </row>
    <row r="453" spans="2:27" ht="19.5" customHeight="1" x14ac:dyDescent="0.25">
      <c r="B453" s="52" t="s">
        <v>246</v>
      </c>
      <c r="C453" s="186"/>
      <c r="D453" s="83"/>
      <c r="E453" s="186"/>
    </row>
    <row r="454" spans="2:27" ht="26.25" customHeight="1" x14ac:dyDescent="0.25">
      <c r="B454" s="288" t="str">
        <f>("Un detalle del "&amp;B453&amp;" al "&amp;[1]BALANZA!$B$3&amp;" "&amp;[1]BALANZA!$C$3&amp;" es como se detalla a continuación:")</f>
        <v>Un detalle del Activos Netos/Patrimonio al 31 de Diciembre del 2025 - 2024 es como se detalla a continuación:</v>
      </c>
      <c r="C454" s="289"/>
      <c r="D454" s="289"/>
      <c r="E454" s="289"/>
    </row>
    <row r="455" spans="2:27" ht="38.25" customHeight="1" x14ac:dyDescent="0.25">
      <c r="B455" s="291" t="str">
        <f>("El patrimonio institucional  para el "&amp;C457&amp;" tenia monto por RD$ "&amp;R462&amp;" y para el "&amp;D457&amp;" el monto fue de RD$ "&amp;R463&amp;" y está conformado con las siguientes partidas: ")</f>
        <v xml:space="preserve">El patrimonio institucional  para el 2025 tenia monto por RD$ 1,208,456,281.95 y para el 2024 el monto fue de RD$ 1,086,596,554.24 y está conformado con las siguientes partidas: </v>
      </c>
      <c r="C455" s="283"/>
      <c r="D455" s="283"/>
      <c r="E455" s="283"/>
    </row>
    <row r="456" spans="2:27" ht="9.75" customHeight="1" x14ac:dyDescent="0.25">
      <c r="B456" s="10"/>
    </row>
    <row r="457" spans="2:27" x14ac:dyDescent="0.25">
      <c r="B457" s="179" t="s">
        <v>218</v>
      </c>
      <c r="C457" s="23">
        <f>+C602</f>
        <v>2025</v>
      </c>
      <c r="D457" s="23">
        <f>+D602</f>
        <v>2024</v>
      </c>
      <c r="E457" s="189" t="s">
        <v>219</v>
      </c>
    </row>
    <row r="458" spans="2:27" x14ac:dyDescent="0.25">
      <c r="B458" s="193" t="s">
        <v>247</v>
      </c>
      <c r="C458" s="194">
        <f>+'[1]BALANZA G'!C128</f>
        <v>808793054.60000002</v>
      </c>
      <c r="D458" s="194">
        <f>+'[1]BALANZA G'!D128</f>
        <v>808793054.60000002</v>
      </c>
      <c r="E458" s="34">
        <f>+C458-D458</f>
        <v>0</v>
      </c>
      <c r="G458" s="195"/>
      <c r="U458" s="196"/>
    </row>
    <row r="459" spans="2:27" x14ac:dyDescent="0.25">
      <c r="B459" s="193" t="s">
        <v>248</v>
      </c>
      <c r="C459" s="197">
        <f>+D461+D460+D459</f>
        <v>277803499.63999999</v>
      </c>
      <c r="D459" s="197">
        <v>236147019.97999999</v>
      </c>
      <c r="E459" s="34">
        <f>+C459-D459</f>
        <v>41656479.659999996</v>
      </c>
      <c r="G459" s="195"/>
      <c r="I459" s="78"/>
      <c r="U459" s="196"/>
    </row>
    <row r="460" spans="2:27" x14ac:dyDescent="0.25">
      <c r="B460" s="27" t="s">
        <v>249</v>
      </c>
      <c r="C460" s="197">
        <f>+[1]BALANZA!B6</f>
        <v>1485895.3399999999</v>
      </c>
      <c r="D460" s="197">
        <v>0</v>
      </c>
      <c r="E460" s="34">
        <f>+C460-D460</f>
        <v>1485895.3399999999</v>
      </c>
      <c r="G460" s="195"/>
      <c r="I460" s="78"/>
      <c r="U460" s="196"/>
      <c r="Z460" s="1"/>
    </row>
    <row r="461" spans="2:27" x14ac:dyDescent="0.25">
      <c r="B461" s="27" t="s">
        <v>250</v>
      </c>
      <c r="C461" s="197">
        <f>+[1]ERF!B35</f>
        <v>120373832.37</v>
      </c>
      <c r="D461" s="197">
        <f>+[1]ERF!C30</f>
        <v>41656479.659999967</v>
      </c>
      <c r="E461" s="34">
        <f>+C461-D461</f>
        <v>78717352.710000038</v>
      </c>
      <c r="G461" s="195"/>
      <c r="I461" s="78"/>
      <c r="U461" s="196"/>
      <c r="Z461" s="39"/>
    </row>
    <row r="462" spans="2:27" x14ac:dyDescent="0.25">
      <c r="B462" s="71" t="s">
        <v>251</v>
      </c>
      <c r="C462" s="198">
        <f>SUM(C458:C461)</f>
        <v>1208456281.9499998</v>
      </c>
      <c r="D462" s="198">
        <f>SUM(D458:D461)</f>
        <v>1086596554.24</v>
      </c>
      <c r="E462" s="198">
        <f>SUM(E458:E461)</f>
        <v>121859727.71000004</v>
      </c>
      <c r="I462" s="78"/>
      <c r="R462" s="3" t="str">
        <f>+CONCATENATE(S462,",",T462,",",U462,",",V462,W462)</f>
        <v>1,208,456,281.95</v>
      </c>
      <c r="S462" s="3" t="str">
        <f>MID(C462,1,1)</f>
        <v>1</v>
      </c>
      <c r="T462" s="3" t="str">
        <f>MID(C462,2,3)</f>
        <v>208</v>
      </c>
      <c r="U462" s="3" t="str">
        <f>MID(C462,5,3)</f>
        <v>456</v>
      </c>
      <c r="V462" s="3" t="str">
        <f>MID(C462,8,3)</f>
        <v>281</v>
      </c>
      <c r="W462" s="3" t="str">
        <f>MID(C462,11,3)</f>
        <v>.95</v>
      </c>
      <c r="Z462" s="1"/>
      <c r="AA462" s="1" t="str">
        <f>MID(H462,7,3)</f>
        <v/>
      </c>
    </row>
    <row r="463" spans="2:27" x14ac:dyDescent="0.25">
      <c r="B463" s="199"/>
      <c r="C463" s="200">
        <f>+C462-'[1]ES F '!B60</f>
        <v>0</v>
      </c>
      <c r="D463" s="200">
        <f>+D462-'[1]ES F '!C60</f>
        <v>0</v>
      </c>
      <c r="E463" s="201"/>
      <c r="R463" s="3" t="str">
        <f>+CONCATENATE(S463,",",T463,",",U463,",",V463,W463)</f>
        <v>1,086,596,554.24</v>
      </c>
      <c r="S463" s="3" t="str">
        <f>MID(D462,1,1)</f>
        <v>1</v>
      </c>
      <c r="T463" s="3" t="str">
        <f>MID(D462,2,3)</f>
        <v>086</v>
      </c>
      <c r="U463" s="3" t="str">
        <f>MID(D462,5,3)</f>
        <v>596</v>
      </c>
      <c r="V463" s="3" t="str">
        <f>MID(D462,8,3)</f>
        <v>554</v>
      </c>
      <c r="W463" s="3" t="str">
        <f>MID(D462,11,3)</f>
        <v>.24</v>
      </c>
      <c r="X463" s="3" t="str">
        <f>MID(I462,1,3)</f>
        <v/>
      </c>
      <c r="AA463" s="1" t="str">
        <f>MID(L462,1,3)</f>
        <v/>
      </c>
    </row>
    <row r="464" spans="2:27" s="35" customFormat="1" x14ac:dyDescent="0.25">
      <c r="B464" s="284" t="str">
        <f>("Cambio porcentual con relación al "&amp;$D$118&amp;".")</f>
        <v>Cambio porcentual con relación al 2024.</v>
      </c>
      <c r="C464" s="285"/>
      <c r="D464" s="45" t="str">
        <f>IF(E464&gt;=0,"Aumento","Disminución")</f>
        <v>Aumento</v>
      </c>
      <c r="E464" s="76">
        <f>+E462/D462</f>
        <v>0.11214808958715371</v>
      </c>
      <c r="J464" s="39"/>
      <c r="K464" s="39"/>
      <c r="N464" s="39"/>
      <c r="R464" s="40"/>
      <c r="S464" s="40"/>
      <c r="T464" s="40"/>
      <c r="U464" s="40"/>
      <c r="V464" s="40"/>
      <c r="W464" s="40"/>
      <c r="X464" s="40"/>
      <c r="Y464" s="40"/>
    </row>
    <row r="465" spans="2:22" ht="21" customHeight="1" x14ac:dyDescent="0.25">
      <c r="B465" s="293" t="s">
        <v>252</v>
      </c>
      <c r="C465" s="293"/>
      <c r="D465" s="293"/>
      <c r="E465" s="293"/>
    </row>
    <row r="466" spans="2:22" ht="21" customHeight="1" x14ac:dyDescent="0.25">
      <c r="B466" s="202"/>
      <c r="C466" s="202"/>
      <c r="D466" s="202"/>
      <c r="E466" s="202"/>
    </row>
    <row r="467" spans="2:22" ht="31.5" customHeight="1" x14ac:dyDescent="0.25">
      <c r="B467" s="202"/>
      <c r="C467" s="202"/>
      <c r="D467" s="202"/>
      <c r="E467" s="202"/>
    </row>
    <row r="468" spans="2:22" ht="12" customHeight="1" x14ac:dyDescent="0.25">
      <c r="B468" s="202"/>
      <c r="C468" s="202"/>
      <c r="D468" s="202"/>
      <c r="E468" s="202"/>
    </row>
    <row r="469" spans="2:22" ht="12" customHeight="1" x14ac:dyDescent="0.25">
      <c r="B469" s="202"/>
      <c r="C469" s="202"/>
      <c r="D469" s="202"/>
      <c r="E469" s="202"/>
    </row>
    <row r="470" spans="2:22" ht="12" customHeight="1" x14ac:dyDescent="0.25">
      <c r="B470" s="77"/>
    </row>
    <row r="471" spans="2:22" ht="13.5" customHeight="1" x14ac:dyDescent="0.25">
      <c r="B471" s="52" t="s">
        <v>253</v>
      </c>
    </row>
    <row r="472" spans="2:22" x14ac:dyDescent="0.25">
      <c r="B472" s="52" t="s">
        <v>254</v>
      </c>
    </row>
    <row r="473" spans="2:22" ht="39.75" customHeight="1" x14ac:dyDescent="0.25">
      <c r="B473" s="288" t="str">
        <f>("Un detalle del "&amp;B472&amp;" al "&amp;[1]BALANZA!$B$3&amp;" "&amp;[1]BALANZA!$C$3&amp;" es como se detalla a continuación:")</f>
        <v>Un detalle del Ingresos por transacciones con contraprestaciones al 31 de Diciembre del 2025 - 2024 es como se detalla a continuación:</v>
      </c>
      <c r="C473" s="289"/>
      <c r="D473" s="289"/>
      <c r="E473" s="289"/>
    </row>
    <row r="474" spans="2:22" ht="42.75" customHeight="1" x14ac:dyDescent="0.25">
      <c r="B474" s="291" t="str">
        <f>("Los ingresos recibidos por cobros de  servicios de aguas potable y saneamiento (APS) para en el  "&amp;C477&amp;" es RD$ "&amp;R480&amp;" y del "&amp;D477&amp;" es RD$ "&amp;R481&amp;" :")</f>
        <v>Los ingresos recibidos por cobros de  servicios de aguas potable y saneamiento (APS) para en el  2025 es RD$ 186,534,488.11 y del 2024 es RD$ 180,976,832.24 :</v>
      </c>
      <c r="C474" s="291"/>
      <c r="D474" s="291"/>
      <c r="E474" s="291"/>
    </row>
    <row r="475" spans="2:22" x14ac:dyDescent="0.25">
      <c r="B475" s="203"/>
    </row>
    <row r="476" spans="2:22" x14ac:dyDescent="0.25">
      <c r="B476" s="179"/>
      <c r="C476" s="292" t="s">
        <v>255</v>
      </c>
      <c r="D476" s="292"/>
      <c r="E476" s="204"/>
    </row>
    <row r="477" spans="2:22" x14ac:dyDescent="0.25">
      <c r="B477" s="179" t="s">
        <v>218</v>
      </c>
      <c r="C477" s="205">
        <f>+C140</f>
        <v>2025</v>
      </c>
      <c r="D477" s="205">
        <f>+D140</f>
        <v>2024</v>
      </c>
      <c r="E477" s="180" t="s">
        <v>219</v>
      </c>
    </row>
    <row r="478" spans="2:22" x14ac:dyDescent="0.25">
      <c r="B478" s="145" t="s">
        <v>256</v>
      </c>
      <c r="C478" s="206">
        <f>+'[1]BALANZA G'!C136-C479</f>
        <v>186534488.11000001</v>
      </c>
      <c r="D478" s="131">
        <f>+'[1]BALANZA G'!D136-D479</f>
        <v>180953599.51999998</v>
      </c>
      <c r="E478" s="69">
        <f>+C478-D478</f>
        <v>5580888.5900000334</v>
      </c>
      <c r="H478" s="78"/>
    </row>
    <row r="479" spans="2:22" x14ac:dyDescent="0.25">
      <c r="B479" s="145" t="s">
        <v>257</v>
      </c>
      <c r="C479" s="206">
        <v>0</v>
      </c>
      <c r="D479" s="206">
        <f>1936.06*12</f>
        <v>23232.720000000001</v>
      </c>
      <c r="E479" s="69">
        <f>+C479-D479</f>
        <v>-23232.720000000001</v>
      </c>
      <c r="H479" s="78"/>
    </row>
    <row r="480" spans="2:22" ht="28.5" x14ac:dyDescent="0.25">
      <c r="B480" s="207" t="s">
        <v>258</v>
      </c>
      <c r="C480" s="208">
        <f>SUM(C478:C479)</f>
        <v>186534488.11000001</v>
      </c>
      <c r="D480" s="209">
        <f>SUM(D478:D479)</f>
        <v>180976832.23999998</v>
      </c>
      <c r="E480" s="208">
        <f>SUM(E478:E478)</f>
        <v>5580888.5900000334</v>
      </c>
      <c r="H480" s="78"/>
      <c r="R480" s="3" t="str">
        <f>+CONCATENATE(S480,",",T480,",",U480,V480,"")</f>
        <v>186,534,488.11</v>
      </c>
      <c r="S480" s="3" t="str">
        <f>MID(C480,1,3)</f>
        <v>186</v>
      </c>
      <c r="T480" s="3" t="str">
        <f>MID(C480,4,3)</f>
        <v>534</v>
      </c>
      <c r="U480" s="3" t="str">
        <f>MID(C480,7,3)</f>
        <v>488</v>
      </c>
      <c r="V480" s="3" t="str">
        <f>MID(C480,10,3)</f>
        <v>.11</v>
      </c>
    </row>
    <row r="481" spans="2:26" x14ac:dyDescent="0.25">
      <c r="B481" s="210"/>
      <c r="C481" s="211">
        <f>+C480-[1]ERF!B11-[1]ERF!B13</f>
        <v>0</v>
      </c>
      <c r="D481" s="212"/>
      <c r="E481" s="213"/>
      <c r="H481" s="78"/>
      <c r="R481" s="3" t="str">
        <f>+CONCATENATE(S481,",",T481,",",U481,V481,AB481,"")</f>
        <v>180,976,832.24</v>
      </c>
      <c r="S481" s="3" t="str">
        <f>MID(D480,1,3)</f>
        <v>180</v>
      </c>
      <c r="T481" s="3" t="str">
        <f>MID(D480,4,3)</f>
        <v>976</v>
      </c>
      <c r="U481" s="3" t="str">
        <f>MID(D480,7,3)</f>
        <v>832</v>
      </c>
      <c r="V481" s="3" t="str">
        <f>MID(D480,10,3)</f>
        <v>.24</v>
      </c>
    </row>
    <row r="482" spans="2:26" s="35" customFormat="1" x14ac:dyDescent="0.25">
      <c r="B482" s="284" t="str">
        <f>("Cambio porcentual con relación al "&amp;$D$118&amp;".")</f>
        <v>Cambio porcentual con relación al 2024.</v>
      </c>
      <c r="C482" s="285"/>
      <c r="D482" s="45" t="str">
        <f>IF(E482&gt;=0,"Aumento","Disminución")</f>
        <v>Aumento</v>
      </c>
      <c r="E482" s="76">
        <f>+E480/D480</f>
        <v>3.0837585788876076E-2</v>
      </c>
      <c r="J482" s="39"/>
      <c r="K482" s="39"/>
      <c r="N482" s="39"/>
      <c r="R482" s="40"/>
      <c r="S482" s="40"/>
      <c r="T482" s="40"/>
      <c r="U482" s="40"/>
      <c r="V482" s="40"/>
      <c r="W482" s="40"/>
      <c r="X482" s="40"/>
      <c r="Y482" s="40"/>
      <c r="Z482" s="39"/>
    </row>
    <row r="483" spans="2:26" x14ac:dyDescent="0.25">
      <c r="B483" s="77"/>
    </row>
    <row r="485" spans="2:26" x14ac:dyDescent="0.25">
      <c r="B485" s="52" t="s">
        <v>259</v>
      </c>
    </row>
    <row r="486" spans="2:26" x14ac:dyDescent="0.25">
      <c r="B486" s="52" t="s">
        <v>260</v>
      </c>
    </row>
    <row r="487" spans="2:26" ht="32.25" customHeight="1" x14ac:dyDescent="0.25">
      <c r="B487" s="288" t="str">
        <f>("Un detalle de las "&amp;B486&amp;" al "&amp;[1]BALANZA!$B$3&amp;" "&amp;[1]BALANZA!$C$3&amp;" es como se detalla a continuación:")</f>
        <v>Un detalle de las Transferencias y donaciones  al 31 de Diciembre del 2025 - 2024 es como se detalla a continuación:</v>
      </c>
      <c r="C487" s="289"/>
      <c r="D487" s="289"/>
      <c r="E487" s="289"/>
    </row>
    <row r="488" spans="2:26" ht="61.5" customHeight="1" x14ac:dyDescent="0.25">
      <c r="B488" s="291" t="str">
        <f>("Los recursos recibidos por transferencias fueron por los montos según el siguiente detalle:  para el "&amp;C492&amp;" transferencia de para Gasto  Corrientes RD$ "&amp;R493&amp;", para Gasto de  Capital RD$ "&amp;R494&amp;" y para Energia no cortable RD$ "&amp;R495&amp;" y para el "&amp;D492&amp;" Transferencia para Gasto  Corrientes RD$ "&amp;R499&amp;", para Gasto  de Capital RD$ "&amp;R500&amp;" y para Energia no cortable RD$ "&amp;R501&amp;" ")</f>
        <v xml:space="preserve">Los recursos recibidos por transferencias fueron por los montos según el siguiente detalle:  para el 2025 transferencia de para Gasto  Corrientes RD$ 55,995,279, para Gasto de  Capital RD$ 168,117,235.73 y para Energia no cortable RD$ 83,096,588.27 y para el 2024 Transferencia para Gasto  Corrientes RD$ 165,298,809.00, para Gasto  de Capital RD$ 12,714,356.04 y para Energia no cortable RD$ 51,161,468.00 </v>
      </c>
      <c r="C488" s="291"/>
      <c r="D488" s="291"/>
      <c r="E488" s="291"/>
    </row>
    <row r="489" spans="2:26" ht="27.75" customHeight="1" x14ac:dyDescent="0.25">
      <c r="B489" s="291" t="str">
        <f>("Para el "&amp;D492&amp;" recibimos transferencia fuera del circuito para Gasto  Corrientes RD$ "&amp;R492&amp;" ")</f>
        <v xml:space="preserve">Para el 2024 recibimos transferencia fuera del circuito para Gasto  Corrientes RD$ 4,235,517.00 </v>
      </c>
      <c r="C489" s="291"/>
      <c r="D489" s="291"/>
      <c r="E489" s="291"/>
    </row>
    <row r="490" spans="2:26" x14ac:dyDescent="0.25">
      <c r="B490" s="10"/>
    </row>
    <row r="491" spans="2:26" x14ac:dyDescent="0.25">
      <c r="B491" s="163" t="str">
        <f>+B477</f>
        <v>Cuenta</v>
      </c>
      <c r="C491" s="292" t="s">
        <v>255</v>
      </c>
      <c r="D491" s="292"/>
      <c r="E491" s="204"/>
    </row>
    <row r="492" spans="2:26" x14ac:dyDescent="0.25">
      <c r="B492" s="163" t="s">
        <v>261</v>
      </c>
      <c r="C492" s="205">
        <f>+[1]BALANZA!B4</f>
        <v>2025</v>
      </c>
      <c r="D492" s="205">
        <f>+[1]BALANZA!C4</f>
        <v>2024</v>
      </c>
      <c r="E492" s="180" t="s">
        <v>219</v>
      </c>
      <c r="R492" s="3" t="str">
        <f>+CONCATENATE(S492,",",T492,",",U492,V492,".00")</f>
        <v>4,235,517.00</v>
      </c>
      <c r="S492" s="3" t="str">
        <f>MID(D496,1,1)</f>
        <v>4</v>
      </c>
      <c r="T492" s="3" t="str">
        <f>MID(D496,2,3)</f>
        <v>235</v>
      </c>
      <c r="U492" s="3" t="str">
        <f>MID(D496,5,3)</f>
        <v>517</v>
      </c>
      <c r="V492" s="3" t="str">
        <f>MID(G496,1,1)</f>
        <v/>
      </c>
      <c r="W492" s="3" t="str">
        <f>MID(H496,1,1)</f>
        <v/>
      </c>
    </row>
    <row r="493" spans="2:26" ht="15.75" customHeight="1" x14ac:dyDescent="0.25">
      <c r="B493" s="145" t="s">
        <v>262</v>
      </c>
      <c r="C493" s="131">
        <f>+'[1]BALANZA G'!C149+'[1]BALANZA G'!C153-C496</f>
        <v>55995279</v>
      </c>
      <c r="D493" s="131">
        <f>+[1]RESULTADO!E10-D494-D495</f>
        <v>165298809</v>
      </c>
      <c r="E493" s="69">
        <f>+C493-D493</f>
        <v>-109303530</v>
      </c>
      <c r="R493" s="3" t="str">
        <f>+CONCATENATE(S493,",",T493,",",U493,V493,"")</f>
        <v>55,995,279</v>
      </c>
      <c r="S493" s="3" t="str">
        <f>MID(C493,1,2)</f>
        <v>55</v>
      </c>
      <c r="T493" s="3" t="str">
        <f>MID(C493,3,3)</f>
        <v>995</v>
      </c>
      <c r="U493" s="3" t="str">
        <f>MID(C493,6,3)</f>
        <v>279</v>
      </c>
      <c r="V493" s="3" t="str">
        <f>MID(C493,9,3)</f>
        <v/>
      </c>
    </row>
    <row r="494" spans="2:26" ht="15.75" customHeight="1" x14ac:dyDescent="0.25">
      <c r="B494" s="145" t="s">
        <v>263</v>
      </c>
      <c r="C494" s="214">
        <f>+'[1]BALANZA G'!C154</f>
        <v>168117235.72999999</v>
      </c>
      <c r="D494" s="214">
        <v>12714356.039999999</v>
      </c>
      <c r="E494" s="69">
        <f>+C494-D494</f>
        <v>155402879.69</v>
      </c>
      <c r="R494" s="3" t="str">
        <f>+CONCATENATE(S494,",",T494,",",U494,V494,"")</f>
        <v>168,117,235.73</v>
      </c>
      <c r="S494" s="3" t="str">
        <f>MID(C494,1,3)</f>
        <v>168</v>
      </c>
      <c r="T494" s="3" t="str">
        <f>MID(C494,4,3)</f>
        <v>117</v>
      </c>
      <c r="U494" s="3" t="str">
        <f>MID(C494,7,3)</f>
        <v>235</v>
      </c>
      <c r="V494" s="3" t="str">
        <f>MID(C494,10,3)</f>
        <v>.73</v>
      </c>
    </row>
    <row r="495" spans="2:26" ht="28.5" customHeight="1" x14ac:dyDescent="0.25">
      <c r="B495" s="215" t="s">
        <v>264</v>
      </c>
      <c r="C495" s="214">
        <f>+'[1]BALANZA G'!C155</f>
        <v>83096588.269999996</v>
      </c>
      <c r="D495" s="214">
        <v>51161468</v>
      </c>
      <c r="E495" s="216">
        <f>+C495-D495</f>
        <v>31935120.269999996</v>
      </c>
      <c r="N495" s="2">
        <f>3106590.67*5</f>
        <v>15532953.35</v>
      </c>
      <c r="R495" s="3" t="str">
        <f>+CONCATENATE(S495,",",T495,",",U495,V495,"")</f>
        <v>83,096,588.27</v>
      </c>
      <c r="S495" s="3" t="str">
        <f>MID(C495,1,2)</f>
        <v>83</v>
      </c>
      <c r="T495" s="3" t="str">
        <f>MID(C495,3,3)</f>
        <v>096</v>
      </c>
      <c r="U495" s="3" t="str">
        <f>MID(C495,6,3)</f>
        <v>588</v>
      </c>
      <c r="V495" s="3" t="str">
        <f>MID(C495,9,3)</f>
        <v>.27</v>
      </c>
    </row>
    <row r="496" spans="2:26" ht="19.5" customHeight="1" x14ac:dyDescent="0.25">
      <c r="B496" s="215" t="s">
        <v>265</v>
      </c>
      <c r="C496" s="214">
        <v>0</v>
      </c>
      <c r="D496" s="214">
        <v>4235517</v>
      </c>
      <c r="E496" s="216">
        <f>+C496-D496</f>
        <v>-4235517</v>
      </c>
    </row>
    <row r="497" spans="2:26" x14ac:dyDescent="0.25">
      <c r="B497" s="163" t="s">
        <v>266</v>
      </c>
      <c r="C497" s="208">
        <f>SUM(C493:C496)</f>
        <v>307209103</v>
      </c>
      <c r="D497" s="209">
        <f>SUM(D493:D495)</f>
        <v>229174633.03999999</v>
      </c>
      <c r="E497" s="208">
        <f>SUM(E493:E495)</f>
        <v>78034469.959999993</v>
      </c>
      <c r="H497" s="78"/>
      <c r="N497" s="2">
        <v>2556519</v>
      </c>
      <c r="R497" s="3" t="str">
        <f>+CONCATENATE(S497,",",T497,",",U497,V497,AB497)</f>
        <v>30,720,9103</v>
      </c>
      <c r="S497" s="3" t="str">
        <f>MID(C497,1,2)</f>
        <v>30</v>
      </c>
      <c r="T497" s="3" t="str">
        <f>MID(C497,3,3)</f>
        <v>720</v>
      </c>
      <c r="U497" s="3" t="str">
        <f>MID(C497,6,3)</f>
        <v>910</v>
      </c>
      <c r="V497" s="3" t="str">
        <f>MID(C497,9,3)</f>
        <v>3</v>
      </c>
    </row>
    <row r="498" spans="2:26" x14ac:dyDescent="0.25">
      <c r="B498" s="210"/>
      <c r="C498" s="211">
        <f>+C497-[1]ERF!B12</f>
        <v>0</v>
      </c>
      <c r="D498" s="211">
        <f>+D497-[1]ERF!C12</f>
        <v>0</v>
      </c>
      <c r="E498" s="213"/>
      <c r="H498" s="78"/>
      <c r="N498" s="2">
        <f>+N495+N497</f>
        <v>18089472.350000001</v>
      </c>
      <c r="R498" s="3" t="str">
        <f>+CONCATENATE(S498,",",T498,",",U498,V498,AB498)</f>
        <v>229,174,633.04</v>
      </c>
      <c r="S498" s="3" t="str">
        <f>MID(D497,1,3)</f>
        <v>229</v>
      </c>
      <c r="T498" s="3" t="str">
        <f>MID(D497,4,3)</f>
        <v>174</v>
      </c>
      <c r="U498" s="3" t="str">
        <f>MID(D497,7,3)</f>
        <v>633</v>
      </c>
      <c r="V498" s="3" t="str">
        <f>MID(D497,10,3)</f>
        <v>.04</v>
      </c>
    </row>
    <row r="499" spans="2:26" s="35" customFormat="1" x14ac:dyDescent="0.25">
      <c r="B499" s="284" t="str">
        <f>("Cambio porcentual con relación al "&amp;$D$118&amp;".")</f>
        <v>Cambio porcentual con relación al 2024.</v>
      </c>
      <c r="C499" s="285"/>
      <c r="D499" s="45" t="str">
        <f>IF(E499&gt;=0,"Aumento","Disminución")</f>
        <v>Aumento</v>
      </c>
      <c r="E499" s="76">
        <f>+E497/D497</f>
        <v>0.34050221407523718</v>
      </c>
      <c r="J499" s="39"/>
      <c r="K499" s="39"/>
      <c r="N499" s="39"/>
      <c r="R499" s="3" t="str">
        <f>+CONCATENATE(S499,",",T499,",",U499,V499,AB499,".00")</f>
        <v>165,298,809.00</v>
      </c>
      <c r="S499" s="3" t="str">
        <f>MID(D493,1,3)</f>
        <v>165</v>
      </c>
      <c r="T499" s="3" t="str">
        <f>MID(D493,4,3)</f>
        <v>298</v>
      </c>
      <c r="U499" s="3" t="str">
        <f>MID(D493,7,3)</f>
        <v>809</v>
      </c>
      <c r="V499" s="3" t="str">
        <f>MID(D493,10,3)</f>
        <v/>
      </c>
      <c r="W499" s="40"/>
      <c r="X499" s="40"/>
      <c r="Y499" s="40"/>
      <c r="Z499" s="39"/>
    </row>
    <row r="500" spans="2:26" ht="21" customHeight="1" x14ac:dyDescent="0.25">
      <c r="B500" s="10"/>
      <c r="H500" s="78"/>
      <c r="R500" s="3" t="str">
        <f>+CONCATENATE(S500,",",T500,",",U500,V500,AB500)</f>
        <v>12,714,356.04</v>
      </c>
      <c r="S500" s="3" t="str">
        <f>MID(D494,1,2)</f>
        <v>12</v>
      </c>
      <c r="T500" s="3" t="str">
        <f>MID(D494,3,3)</f>
        <v>714</v>
      </c>
      <c r="U500" s="3" t="str">
        <f>MID(D494,6,3)</f>
        <v>356</v>
      </c>
      <c r="V500" s="3" t="str">
        <f>MID(D494,9,3)</f>
        <v>.04</v>
      </c>
    </row>
    <row r="501" spans="2:26" ht="28.5" hidden="1" customHeight="1" x14ac:dyDescent="0.25">
      <c r="B501" s="290" t="e">
        <f>("Nota: CORAAMOCA tiene un presupuesto aprobado para el "&amp;C492&amp;" por un valor de RD$ "&amp;#REF!&amp;" ")</f>
        <v>#REF!</v>
      </c>
      <c r="C501" s="290"/>
      <c r="D501" s="290"/>
      <c r="E501" s="290"/>
      <c r="R501" s="3" t="str">
        <f>+CONCATENATE(S501,",",T501,",",U501,V501,AB501,".00")</f>
        <v>51,161,468.00</v>
      </c>
      <c r="S501" s="3" t="str">
        <f>MID(D495,1,2)</f>
        <v>51</v>
      </c>
      <c r="T501" s="3" t="str">
        <f>MID(D495,3,3)</f>
        <v>161</v>
      </c>
      <c r="U501" s="3" t="str">
        <f>MID(D495,6,3)</f>
        <v>468</v>
      </c>
      <c r="V501" s="3" t="str">
        <f>MID(D495,9,3)</f>
        <v/>
      </c>
    </row>
    <row r="502" spans="2:26" ht="69.75" customHeight="1" x14ac:dyDescent="0.25">
      <c r="B502" s="290" t="str">
        <f>("El cual  recibirá mediante asignación de fondos del Gobierno Central,  para gastos corriente RD$ "&amp;R502&amp;" , para Gasto de capital RD$ "&amp;R504&amp;" y para  Energia Electrica de  RD$ "&amp;R503&amp;" y la Institución ingresará por ventas de servicios agua y saneamiento  un monto de RD$ "&amp;R505&amp;".")</f>
        <v>El cual  recibirá mediante asignación de fondos del Gobierno Central,  para gastos corriente RD$ 80,270,768.00 , para Gasto de capital RD$ 168,117,235.73.00 y para  Energia Electrica de  RD$ 46,286,520.00 y la Institución ingresará por ventas de servicios agua y saneamiento  un monto de RD$ 240,000,000.00.</v>
      </c>
      <c r="C502" s="290"/>
      <c r="D502" s="290"/>
      <c r="E502" s="290"/>
      <c r="R502" s="3" t="str">
        <f>+CONCATENATE(T502,",",U502,",",V502,W502,".00")</f>
        <v>80,270,768.00</v>
      </c>
      <c r="S502" s="217">
        <f>+'[1]Pres A'!E289</f>
        <v>80270768.269999996</v>
      </c>
      <c r="T502" s="3" t="str">
        <f>MID(S502,1,2)</f>
        <v>80</v>
      </c>
      <c r="U502" s="3" t="str">
        <f>MID(S502,3,3)</f>
        <v>270</v>
      </c>
      <c r="V502" s="3" t="str">
        <f>MID(S502,6,3)</f>
        <v>768</v>
      </c>
    </row>
    <row r="503" spans="2:26" ht="15.75" customHeight="1" x14ac:dyDescent="0.25">
      <c r="B503" s="17"/>
      <c r="C503" s="17"/>
      <c r="D503" s="17"/>
      <c r="E503" s="17"/>
      <c r="R503" s="3" t="str">
        <f>+CONCATENATE(T503,",",U503,",",V503,W503,".00")</f>
        <v>46,286,520.00</v>
      </c>
      <c r="S503" s="217">
        <f>+'[1]Pres A'!E290</f>
        <v>46286520</v>
      </c>
      <c r="T503" s="3" t="str">
        <f>MID(S503,1,2)</f>
        <v>46</v>
      </c>
      <c r="U503" s="3" t="str">
        <f>MID(S503,3,3)</f>
        <v>286</v>
      </c>
      <c r="V503" s="3" t="str">
        <f>MID(S503,6,3)</f>
        <v>520</v>
      </c>
      <c r="W503" s="3" t="str">
        <f>MID(S503,9,3)</f>
        <v/>
      </c>
    </row>
    <row r="504" spans="2:26" ht="9" customHeight="1" x14ac:dyDescent="0.25">
      <c r="B504" s="17"/>
      <c r="C504" s="17"/>
      <c r="D504" s="17"/>
      <c r="E504" s="17"/>
      <c r="R504" s="3" t="str">
        <f>+CONCATENATE(T504,",",U504,",",V504,W504,".00")</f>
        <v>168,117,235.73.00</v>
      </c>
      <c r="S504" s="217">
        <f>+'[1]Pres A'!E291</f>
        <v>168117235.72999999</v>
      </c>
      <c r="T504" s="3" t="str">
        <f>MID(S504,1,3)</f>
        <v>168</v>
      </c>
      <c r="U504" s="3" t="str">
        <f>MID(S504,4,3)</f>
        <v>117</v>
      </c>
      <c r="V504" s="3" t="str">
        <f>MID(S504,7,3)</f>
        <v>235</v>
      </c>
      <c r="W504" s="3" t="str">
        <f>MID(S504,10,3)</f>
        <v>.73</v>
      </c>
    </row>
    <row r="505" spans="2:26" ht="12.75" customHeight="1" x14ac:dyDescent="0.25">
      <c r="B505" s="17"/>
      <c r="C505" s="17"/>
      <c r="D505" s="17"/>
      <c r="E505" s="17"/>
      <c r="R505" s="3" t="str">
        <f>+CONCATENATE(T505,",",U505,",",V505,W505,".00")</f>
        <v>240,000,000.00</v>
      </c>
      <c r="S505" s="217">
        <f>+'[1]Pres A'!E295</f>
        <v>240000000</v>
      </c>
      <c r="T505" s="3" t="str">
        <f>MID(S505,1,3)</f>
        <v>240</v>
      </c>
      <c r="U505" s="3" t="str">
        <f>MID(S505,4,3)</f>
        <v>000</v>
      </c>
      <c r="V505" s="3" t="str">
        <f>MID(S505,7,3)</f>
        <v>000</v>
      </c>
    </row>
    <row r="506" spans="2:26" ht="15.75" customHeight="1" x14ac:dyDescent="0.25">
      <c r="B506" s="17"/>
      <c r="C506" s="17"/>
      <c r="D506" s="17"/>
      <c r="E506" s="17"/>
    </row>
    <row r="507" spans="2:26" ht="15.75" customHeight="1" x14ac:dyDescent="0.25">
      <c r="B507" s="17"/>
      <c r="C507" s="17"/>
      <c r="D507" s="17"/>
      <c r="E507" s="17"/>
    </row>
    <row r="508" spans="2:26" ht="15.75" customHeight="1" x14ac:dyDescent="0.25">
      <c r="B508" s="17"/>
      <c r="C508" s="17"/>
      <c r="D508" s="17"/>
      <c r="E508" s="17"/>
    </row>
    <row r="509" spans="2:26" ht="15.75" customHeight="1" x14ac:dyDescent="0.25">
      <c r="B509" s="17"/>
      <c r="C509" s="17"/>
      <c r="D509" s="17"/>
      <c r="E509" s="17"/>
    </row>
    <row r="510" spans="2:26" ht="32.25" customHeight="1" x14ac:dyDescent="0.25">
      <c r="B510" s="163" t="s">
        <v>261</v>
      </c>
      <c r="C510" s="218" t="s">
        <v>267</v>
      </c>
      <c r="D510" s="218" t="s">
        <v>247</v>
      </c>
      <c r="E510" s="218" t="s">
        <v>268</v>
      </c>
    </row>
    <row r="511" spans="2:26" ht="15.75" customHeight="1" x14ac:dyDescent="0.25">
      <c r="B511" s="53" t="s">
        <v>269</v>
      </c>
      <c r="C511" s="219">
        <f>+'[1]19'!$D$25</f>
        <v>3993167</v>
      </c>
      <c r="D511" s="219">
        <f>+'[1]19'!$D$26</f>
        <v>0</v>
      </c>
      <c r="E511" s="219">
        <f>+'[1]19'!$D$27</f>
        <v>4628652</v>
      </c>
    </row>
    <row r="512" spans="2:26" ht="15.75" customHeight="1" x14ac:dyDescent="0.25">
      <c r="B512" s="53" t="s">
        <v>270</v>
      </c>
      <c r="C512" s="219">
        <f>+'[1]19'!$E$25</f>
        <v>3993167</v>
      </c>
      <c r="D512" s="219">
        <f>+'[1]19'!$E$26</f>
        <v>8372500</v>
      </c>
      <c r="E512" s="219">
        <f>+'[1]19'!$E$27</f>
        <v>4628652</v>
      </c>
    </row>
    <row r="513" spans="2:5" ht="15.75" customHeight="1" x14ac:dyDescent="0.25">
      <c r="B513" s="53" t="s">
        <v>271</v>
      </c>
      <c r="C513" s="219">
        <f>+'[1]19'!$F$25</f>
        <v>3993167</v>
      </c>
      <c r="D513" s="219">
        <f>+'[1]19'!$F$26</f>
        <v>0</v>
      </c>
      <c r="E513" s="219">
        <f>+'[1]19'!$F$27</f>
        <v>4628652</v>
      </c>
    </row>
    <row r="514" spans="2:5" ht="15.75" customHeight="1" x14ac:dyDescent="0.25">
      <c r="B514" s="53" t="s">
        <v>272</v>
      </c>
      <c r="C514" s="219">
        <f>+'[1]19'!$G$25</f>
        <v>3993167</v>
      </c>
      <c r="D514" s="219">
        <f>+'[1]19'!$G$26</f>
        <v>25117500</v>
      </c>
      <c r="E514" s="219">
        <f>+'[1]19'!$G$27</f>
        <v>4628652</v>
      </c>
    </row>
    <row r="515" spans="2:5" ht="15.75" customHeight="1" x14ac:dyDescent="0.25">
      <c r="B515" s="53" t="s">
        <v>273</v>
      </c>
      <c r="C515" s="219">
        <f>+'[1]19'!$H$25</f>
        <v>3993167</v>
      </c>
      <c r="D515" s="219">
        <f>+'[1]19'!$H$26</f>
        <v>8372500</v>
      </c>
      <c r="E515" s="219">
        <f>+'[1]19'!$H$27</f>
        <v>4628652</v>
      </c>
    </row>
    <row r="516" spans="2:5" ht="15.75" customHeight="1" x14ac:dyDescent="0.25">
      <c r="B516" s="53" t="s">
        <v>274</v>
      </c>
      <c r="C516" s="219">
        <f>+'[1]19'!$I$25</f>
        <v>3993167</v>
      </c>
      <c r="D516" s="219">
        <f>+'[1]19'!$I$26</f>
        <v>8372500</v>
      </c>
      <c r="E516" s="219">
        <f>+'[1]19'!$I$27</f>
        <v>4628652</v>
      </c>
    </row>
    <row r="517" spans="2:5" ht="15.75" customHeight="1" x14ac:dyDescent="0.25">
      <c r="B517" s="53" t="s">
        <v>275</v>
      </c>
      <c r="C517" s="219">
        <f>+'[1]19'!$J$25</f>
        <v>3993167</v>
      </c>
      <c r="D517" s="219">
        <f>+'[1]19'!$J$26</f>
        <v>8372500</v>
      </c>
      <c r="E517" s="219">
        <f>+'[1]19'!$J$27</f>
        <v>4628652</v>
      </c>
    </row>
    <row r="518" spans="2:5" ht="15.75" customHeight="1" x14ac:dyDescent="0.25">
      <c r="B518" s="53" t="s">
        <v>276</v>
      </c>
      <c r="C518" s="219">
        <f>+'[1]19'!$K$25</f>
        <v>3993167</v>
      </c>
      <c r="D518" s="219">
        <f>+'[1]19'!$K$26</f>
        <v>8372500</v>
      </c>
      <c r="E518" s="219">
        <f>+'[1]19'!$K$27</f>
        <v>4628652</v>
      </c>
    </row>
    <row r="519" spans="2:5" ht="15.75" customHeight="1" x14ac:dyDescent="0.25">
      <c r="B519" s="53" t="s">
        <v>277</v>
      </c>
      <c r="C519" s="219">
        <f>+'[1]19'!$L$25</f>
        <v>3993167</v>
      </c>
      <c r="D519" s="219">
        <f>+'[1]19'!$L$26</f>
        <v>8372500</v>
      </c>
      <c r="E519" s="219">
        <f>+'[1]19'!$L$27</f>
        <v>4628652</v>
      </c>
    </row>
    <row r="520" spans="2:5" ht="15.75" customHeight="1" x14ac:dyDescent="0.25">
      <c r="B520" s="53" t="s">
        <v>278</v>
      </c>
      <c r="C520" s="219">
        <f>+'[1]19'!$M$25</f>
        <v>3993167</v>
      </c>
      <c r="D520" s="219">
        <f>+'[1]19'!$M$26</f>
        <v>0</v>
      </c>
      <c r="E520" s="219">
        <f>+'[1]19'!$M$27</f>
        <v>4628652</v>
      </c>
    </row>
    <row r="521" spans="2:5" ht="15.75" customHeight="1" x14ac:dyDescent="0.25">
      <c r="B521" s="53" t="s">
        <v>279</v>
      </c>
      <c r="C521" s="219">
        <f>+'[1]19'!$N$25</f>
        <v>3993167</v>
      </c>
      <c r="D521" s="219">
        <f>+'[1]19'!$N$26</f>
        <v>16745000</v>
      </c>
      <c r="E521" s="219">
        <f>+'[1]19'!$N$27</f>
        <v>4628652</v>
      </c>
    </row>
    <row r="522" spans="2:5" ht="15.75" customHeight="1" x14ac:dyDescent="0.25">
      <c r="B522" s="53" t="s">
        <v>280</v>
      </c>
      <c r="C522" s="219">
        <f>+'[1]19'!$O$25</f>
        <v>12070442</v>
      </c>
      <c r="D522" s="219">
        <f>+'[1]19'!$O$26</f>
        <v>76019735.730000004</v>
      </c>
      <c r="E522" s="219">
        <f>+'[1]19'!$O$27</f>
        <v>32181416.27</v>
      </c>
    </row>
    <row r="523" spans="2:5" ht="15.75" customHeight="1" x14ac:dyDescent="0.25">
      <c r="B523" s="220" t="s">
        <v>213</v>
      </c>
      <c r="C523" s="221">
        <f>SUM(C511:C522)</f>
        <v>55995279</v>
      </c>
      <c r="D523" s="221">
        <f>SUM(D511:D522)</f>
        <v>168117235.73000002</v>
      </c>
      <c r="E523" s="221">
        <f>SUM(E511:E522)</f>
        <v>83096588.269999996</v>
      </c>
    </row>
    <row r="524" spans="2:5" ht="15.75" customHeight="1" x14ac:dyDescent="0.25">
      <c r="B524" s="222"/>
      <c r="C524" s="223"/>
      <c r="D524" s="223"/>
      <c r="E524" s="223"/>
    </row>
    <row r="525" spans="2:5" ht="15.75" customHeight="1" x14ac:dyDescent="0.25">
      <c r="B525" s="222" t="s">
        <v>281</v>
      </c>
      <c r="C525" s="223">
        <f>+C523+E523</f>
        <v>139091867.26999998</v>
      </c>
      <c r="D525" s="223"/>
      <c r="E525" s="223"/>
    </row>
    <row r="526" spans="2:5" ht="15.75" customHeight="1" x14ac:dyDescent="0.25">
      <c r="B526" s="222" t="s">
        <v>282</v>
      </c>
      <c r="C526" s="223">
        <f>+D523</f>
        <v>168117235.73000002</v>
      </c>
      <c r="D526" s="223"/>
      <c r="E526" s="223"/>
    </row>
    <row r="527" spans="2:5" ht="30" customHeight="1" x14ac:dyDescent="0.25">
      <c r="B527" s="17"/>
      <c r="C527" s="17"/>
      <c r="D527" s="17"/>
      <c r="E527" s="17"/>
    </row>
    <row r="528" spans="2:5" ht="32.25" customHeight="1" x14ac:dyDescent="0.25">
      <c r="B528" s="290"/>
      <c r="C528" s="290"/>
      <c r="D528" s="290"/>
      <c r="E528" s="290"/>
    </row>
    <row r="529" spans="2:21" ht="15.75" customHeight="1" x14ac:dyDescent="0.25">
      <c r="B529" s="17"/>
      <c r="C529" s="17"/>
      <c r="D529" s="17"/>
      <c r="E529" s="17"/>
    </row>
    <row r="530" spans="2:21" ht="23.25" customHeight="1" x14ac:dyDescent="0.25">
      <c r="B530" s="52" t="s">
        <v>283</v>
      </c>
      <c r="C530" s="195"/>
      <c r="J530" s="2">
        <v>192000000</v>
      </c>
      <c r="K530" s="2">
        <f>J530/12</f>
        <v>16000000</v>
      </c>
    </row>
    <row r="531" spans="2:21" x14ac:dyDescent="0.25">
      <c r="B531" s="52" t="s">
        <v>284</v>
      </c>
      <c r="J531" s="2">
        <v>21106726</v>
      </c>
      <c r="K531" s="2">
        <f>J531/12</f>
        <v>1758893.8333333333</v>
      </c>
    </row>
    <row r="532" spans="2:21" ht="36.75" customHeight="1" x14ac:dyDescent="0.25">
      <c r="B532" s="288" t="str">
        <f>("Un detalle de los "&amp;B531&amp;" al "&amp;[1]BALANZA!$B$3&amp;" "&amp;[1]BALANZA!$C$3&amp;" es como se detalla a continuación:")</f>
        <v>Un detalle de los Sueldos, Salarios y beneficios a empleados al 31 de Diciembre del 2025 - 2024 es como se detalla a continuación:</v>
      </c>
      <c r="C532" s="289"/>
      <c r="D532" s="289"/>
      <c r="E532" s="289"/>
      <c r="J532" s="2">
        <v>70000000</v>
      </c>
      <c r="K532" s="2">
        <f>J532/12</f>
        <v>5833333.333333333</v>
      </c>
      <c r="L532" s="2">
        <f>4666666*3</f>
        <v>13999998</v>
      </c>
    </row>
    <row r="533" spans="2:21" ht="16.5" customHeight="1" x14ac:dyDescent="0.25">
      <c r="B533" s="291"/>
      <c r="C533" s="283"/>
      <c r="D533" s="283"/>
      <c r="E533" s="283"/>
      <c r="J533" s="2">
        <v>37279088</v>
      </c>
      <c r="L533" s="2">
        <f>1598764*5</f>
        <v>7993820</v>
      </c>
    </row>
    <row r="534" spans="2:21" x14ac:dyDescent="0.25">
      <c r="B534" s="163" t="str">
        <f>+B477</f>
        <v>Cuenta</v>
      </c>
      <c r="C534" s="164">
        <f>+[1]BALANZA!B4</f>
        <v>2025</v>
      </c>
      <c r="D534" s="164">
        <f>+[1]BALANZA!C4</f>
        <v>2024</v>
      </c>
      <c r="E534" s="180" t="s">
        <v>219</v>
      </c>
      <c r="K534" s="2">
        <f>J531+J532+J533</f>
        <v>128385814</v>
      </c>
      <c r="L534" s="2">
        <f>10296372.36+13618335.6</f>
        <v>23914707.960000001</v>
      </c>
    </row>
    <row r="535" spans="2:21" x14ac:dyDescent="0.25">
      <c r="B535" s="224" t="s">
        <v>285</v>
      </c>
      <c r="C535" s="225">
        <f>+'[1]BALANZA G'!C162+'[1]BALANZA G'!C163</f>
        <v>145335261.69</v>
      </c>
      <c r="D535" s="225">
        <f>+'[1]BALANZA G'!D162</f>
        <v>147133178</v>
      </c>
      <c r="E535" s="34">
        <f t="shared" ref="E535:E540" si="3">+C535-D535</f>
        <v>-1797916.3100000024</v>
      </c>
      <c r="J535" s="2">
        <f>+J533+J530+J532+J531</f>
        <v>320385814</v>
      </c>
      <c r="U535" s="196"/>
    </row>
    <row r="536" spans="2:21" x14ac:dyDescent="0.25">
      <c r="B536" s="224" t="s">
        <v>286</v>
      </c>
      <c r="C536" s="225">
        <f>+'[1]BALANZA G'!C165+'[1]BALANZA G'!C166+'[1]BALANZA G'!C168+'[1]BALANZA G'!C169+'[1]BALANZA G'!C164</f>
        <v>0</v>
      </c>
      <c r="D536" s="225">
        <f>+'[1]BALANZA G'!D165+'[1]BALANZA G'!D166+'[1]BALANZA G'!D168+'[1]BALANZA G'!D169+'[1]BALANZA G'!D164</f>
        <v>0</v>
      </c>
      <c r="E536" s="34">
        <f t="shared" si="3"/>
        <v>0</v>
      </c>
      <c r="L536" s="195">
        <f>L534+L533+L532</f>
        <v>45908525.960000001</v>
      </c>
      <c r="U536" s="196"/>
    </row>
    <row r="537" spans="2:21" ht="44.25" customHeight="1" x14ac:dyDescent="0.25">
      <c r="B537" s="224" t="s">
        <v>287</v>
      </c>
      <c r="C537" s="225">
        <f>+'[1]BALANZA G'!C173+'[1]BALANZA G'!C174+'[1]BALANZA G'!C170+'[1]BALANZA G'!C175+'[1]BALANZA G'!C177+'[1]BALANZA G'!C172+'[1]BALANZA G'!C171</f>
        <v>17865012.939999998</v>
      </c>
      <c r="D537" s="225">
        <f>+'[1]BALANZA G'!D170+'[1]BALANZA G'!D173+'[1]BALANZA G'!D174+'[1]BALANZA G'!D175+'[1]BALANZA G'!D177+'[1]BALANZA G'!D172</f>
        <v>8257005.8200000003</v>
      </c>
      <c r="E537" s="34">
        <f t="shared" si="3"/>
        <v>9608007.1199999973</v>
      </c>
      <c r="U537" s="196"/>
    </row>
    <row r="538" spans="2:21" hidden="1" x14ac:dyDescent="0.25">
      <c r="B538" s="224" t="s">
        <v>288</v>
      </c>
      <c r="C538" s="225">
        <f>+'[1]BALANZA G'!C179</f>
        <v>0</v>
      </c>
      <c r="D538" s="225">
        <f>+'[1]BALANZA G'!D179</f>
        <v>0</v>
      </c>
      <c r="E538" s="34">
        <f t="shared" si="3"/>
        <v>0</v>
      </c>
      <c r="U538" s="196"/>
    </row>
    <row r="539" spans="2:21" x14ac:dyDescent="0.25">
      <c r="B539" s="224" t="s">
        <v>289</v>
      </c>
      <c r="C539" s="225">
        <f>+'[1]BALANZA G'!C180+'[1]BALANZA G'!C181+'[1]BALANZA G'!C182+'[1]BALANZA G'!C184</f>
        <v>2365000</v>
      </c>
      <c r="D539" s="225">
        <f>+'[1]BALANZA G'!D180+'[1]BALANZA G'!D181+'[1]BALANZA G'!D182+'[1]BALANZA G'!D184</f>
        <v>2970000</v>
      </c>
      <c r="E539" s="34">
        <f t="shared" si="3"/>
        <v>-605000</v>
      </c>
      <c r="U539" s="196"/>
    </row>
    <row r="540" spans="2:21" x14ac:dyDescent="0.25">
      <c r="B540" s="224" t="s">
        <v>290</v>
      </c>
      <c r="C540" s="225">
        <f>+'[1]BALANZA G'!C185+'[1]BALANZA G'!C187+'[1]BALANZA G'!C184+'[1]BALANZA G'!C186+'[1]BALANZA G'!C183+'[1]BALANZA G'!C176</f>
        <v>12070148.16</v>
      </c>
      <c r="D540" s="225">
        <f>+'[1]BALANZA G'!D184+'[1]BALANZA G'!D185+'[1]BALANZA G'!D186+'[1]BALANZA G'!D187+'[1]BALANZA G'!D183+'[1]BALANZA G'!D176</f>
        <v>12210081.5</v>
      </c>
      <c r="E540" s="34">
        <f t="shared" si="3"/>
        <v>-139933.33999999985</v>
      </c>
      <c r="U540" s="196"/>
    </row>
    <row r="541" spans="2:21" x14ac:dyDescent="0.25">
      <c r="B541" s="224" t="s">
        <v>291</v>
      </c>
      <c r="C541" s="225">
        <f>+'[1]BALANZA G'!C306+'[1]BALANZA G'!C167</f>
        <v>2356004.96</v>
      </c>
      <c r="D541" s="225">
        <f>+'[1]BALANZA G'!D306</f>
        <v>1193947.54</v>
      </c>
      <c r="E541" s="34">
        <f>+C541-D541</f>
        <v>1162057.42</v>
      </c>
      <c r="U541" s="196"/>
    </row>
    <row r="542" spans="2:21" x14ac:dyDescent="0.25">
      <c r="B542" s="224" t="s">
        <v>292</v>
      </c>
      <c r="C542" s="225">
        <f>+'[1]BALANZA G'!C190</f>
        <v>10303960.34</v>
      </c>
      <c r="D542" s="225">
        <f>+'[1]BALANZA G'!D190</f>
        <v>10463761.68</v>
      </c>
      <c r="E542" s="34">
        <f>+C542-D542</f>
        <v>-159801.33999999985</v>
      </c>
      <c r="U542" s="196"/>
    </row>
    <row r="543" spans="2:21" x14ac:dyDescent="0.25">
      <c r="B543" s="224" t="s">
        <v>293</v>
      </c>
      <c r="C543" s="225">
        <f>+'[1]BALANZA G'!C191</f>
        <v>10318673.390000001</v>
      </c>
      <c r="D543" s="225">
        <f>+'[1]BALANZA G'!D191</f>
        <v>9101205.8599999994</v>
      </c>
      <c r="E543" s="34">
        <f>+C543-D543</f>
        <v>1217467.5300000012</v>
      </c>
      <c r="U543" s="196"/>
    </row>
    <row r="544" spans="2:21" x14ac:dyDescent="0.25">
      <c r="B544" s="224" t="s">
        <v>294</v>
      </c>
      <c r="C544" s="225">
        <f>+'[1]BALANZA G'!C192</f>
        <v>1728679.77</v>
      </c>
      <c r="D544" s="225">
        <f>+'[1]BALANZA G'!D192</f>
        <v>3131774.53</v>
      </c>
      <c r="E544" s="34">
        <f>+C544-D544</f>
        <v>-1403094.7599999998</v>
      </c>
      <c r="U544" s="196"/>
    </row>
    <row r="545" spans="2:26" ht="28.5" x14ac:dyDescent="0.25">
      <c r="B545" s="226" t="s">
        <v>295</v>
      </c>
      <c r="C545" s="107">
        <f>SUM(C535:C544)</f>
        <v>202342741.25000003</v>
      </c>
      <c r="D545" s="182">
        <f>SUM(D535:D544)</f>
        <v>194460954.92999998</v>
      </c>
      <c r="E545" s="227">
        <f>SUM(E535:E544)</f>
        <v>7881786.3199999966</v>
      </c>
    </row>
    <row r="546" spans="2:26" x14ac:dyDescent="0.25">
      <c r="B546" s="9"/>
      <c r="C546" s="228">
        <f>+C545-[1]ERF!B17</f>
        <v>0</v>
      </c>
      <c r="J546" s="39"/>
    </row>
    <row r="547" spans="2:26" s="35" customFormat="1" x14ac:dyDescent="0.25">
      <c r="B547" s="284" t="str">
        <f>("Cambio porcentual con relación al "&amp;$D$118&amp;".")</f>
        <v>Cambio porcentual con relación al 2024.</v>
      </c>
      <c r="C547" s="285"/>
      <c r="D547" s="229" t="str">
        <f>IF(E547&gt;=0,"Aumento","Disminución")</f>
        <v>Aumento</v>
      </c>
      <c r="E547" s="230">
        <f>+C545/D545</f>
        <v>1.0405314595047488</v>
      </c>
      <c r="J547" s="2"/>
      <c r="K547" s="39"/>
      <c r="N547" s="39"/>
      <c r="R547" s="40"/>
      <c r="S547" s="40"/>
      <c r="T547" s="40"/>
      <c r="U547" s="40"/>
      <c r="V547" s="40"/>
      <c r="W547" s="40"/>
      <c r="X547" s="40"/>
      <c r="Y547" s="40"/>
      <c r="Z547" s="39"/>
    </row>
    <row r="548" spans="2:26" x14ac:dyDescent="0.25">
      <c r="B548" s="9"/>
    </row>
    <row r="549" spans="2:26" x14ac:dyDescent="0.25">
      <c r="B549" s="9"/>
    </row>
    <row r="550" spans="2:26" x14ac:dyDescent="0.25">
      <c r="B550" s="9"/>
    </row>
    <row r="551" spans="2:26" x14ac:dyDescent="0.25">
      <c r="B551" s="9"/>
    </row>
    <row r="552" spans="2:26" ht="9.75" customHeight="1" x14ac:dyDescent="0.25">
      <c r="B552" s="9"/>
    </row>
    <row r="553" spans="2:26" x14ac:dyDescent="0.25">
      <c r="B553" s="52" t="s">
        <v>296</v>
      </c>
    </row>
    <row r="554" spans="2:26" x14ac:dyDescent="0.25">
      <c r="B554" s="52" t="s">
        <v>297</v>
      </c>
    </row>
    <row r="555" spans="2:26" ht="38.25" customHeight="1" x14ac:dyDescent="0.25">
      <c r="B555" s="288" t="str">
        <f>("Un detalle de  "&amp;B554&amp;" al "&amp;[1]BALANZA!$B$3&amp;" "&amp;[1]BALANZA!$C$3&amp;" es como se detalla a continuación:")</f>
        <v>Un detalle de  Subvenciones y otros pagos por transferencias al 31 de Diciembre del 2025 - 2024 es como se detalla a continuación:</v>
      </c>
      <c r="C555" s="289"/>
      <c r="D555" s="289"/>
      <c r="E555" s="289"/>
    </row>
    <row r="556" spans="2:26" ht="9" customHeight="1" x14ac:dyDescent="0.25">
      <c r="B556" s="10"/>
    </row>
    <row r="557" spans="2:26" x14ac:dyDescent="0.25">
      <c r="B557" s="163" t="s">
        <v>298</v>
      </c>
      <c r="C557" s="164">
        <f>+C569</f>
        <v>2025</v>
      </c>
      <c r="D557" s="164">
        <f>+D569</f>
        <v>2024</v>
      </c>
      <c r="E557" s="189" t="s">
        <v>219</v>
      </c>
    </row>
    <row r="558" spans="2:26" ht="16.5" customHeight="1" x14ac:dyDescent="0.25">
      <c r="B558" s="231" t="s">
        <v>299</v>
      </c>
      <c r="C558" s="101">
        <f>+'[1]BALANZA G'!C307</f>
        <v>30000</v>
      </c>
      <c r="D558" s="225">
        <f>+'[1]BALANZA G'!D307+'[1]BALANZA G'!D308</f>
        <v>0</v>
      </c>
      <c r="E558" s="69">
        <f>+C558-D558</f>
        <v>30000</v>
      </c>
    </row>
    <row r="559" spans="2:26" ht="23.25" hidden="1" customHeight="1" x14ac:dyDescent="0.25">
      <c r="B559" s="232"/>
      <c r="C559" s="233"/>
      <c r="D559" s="234"/>
      <c r="E559" s="235"/>
      <c r="I559" s="158"/>
      <c r="J559" s="159"/>
      <c r="K559" s="159"/>
    </row>
    <row r="560" spans="2:26" ht="28.5" x14ac:dyDescent="0.25">
      <c r="B560" s="226" t="s">
        <v>300</v>
      </c>
      <c r="C560" s="107">
        <f>SUM(C558+C559)</f>
        <v>30000</v>
      </c>
      <c r="D560" s="182">
        <f>SUM(D558)</f>
        <v>0</v>
      </c>
      <c r="E560" s="236">
        <f>+C560-D560</f>
        <v>30000</v>
      </c>
    </row>
    <row r="561" spans="2:27" x14ac:dyDescent="0.25">
      <c r="B561" s="93"/>
      <c r="C561" s="228">
        <f>+C560-[1]ERF!B18</f>
        <v>0</v>
      </c>
      <c r="J561" s="39"/>
    </row>
    <row r="562" spans="2:27" s="35" customFormat="1" x14ac:dyDescent="0.25">
      <c r="B562" s="284" t="str">
        <f>("Cambio porcentual con relación al "&amp;$D$118&amp;".")</f>
        <v>Cambio porcentual con relación al 2024.</v>
      </c>
      <c r="C562" s="285"/>
      <c r="D562" s="45" t="e">
        <f>IF(E562&gt;=0,"Aumento","Disminución")</f>
        <v>#DIV/0!</v>
      </c>
      <c r="E562" s="76" t="e">
        <f>+E560/D560</f>
        <v>#DIV/0!</v>
      </c>
      <c r="J562" s="39"/>
      <c r="K562" s="39"/>
      <c r="N562" s="39"/>
      <c r="R562" s="40"/>
      <c r="S562" s="40"/>
      <c r="T562" s="40"/>
      <c r="U562" s="40"/>
      <c r="V562" s="40"/>
      <c r="W562" s="40"/>
      <c r="X562" s="40"/>
      <c r="Y562" s="40"/>
      <c r="Z562" s="39"/>
    </row>
    <row r="563" spans="2:27" s="35" customFormat="1" ht="17.25" customHeight="1" x14ac:dyDescent="0.25">
      <c r="B563" s="50"/>
      <c r="C563" s="50"/>
      <c r="D563" s="48"/>
      <c r="E563" s="51"/>
      <c r="J563" s="39"/>
      <c r="K563" s="39"/>
      <c r="N563" s="39"/>
      <c r="R563" s="40"/>
      <c r="S563" s="40"/>
      <c r="T563" s="40"/>
      <c r="U563" s="40"/>
      <c r="V563" s="40"/>
      <c r="W563" s="40"/>
      <c r="X563" s="40"/>
      <c r="Y563" s="40"/>
      <c r="Z563" s="39"/>
    </row>
    <row r="564" spans="2:27" s="35" customFormat="1" ht="30" customHeight="1" x14ac:dyDescent="0.25">
      <c r="B564" s="50"/>
      <c r="C564" s="50"/>
      <c r="D564" s="48"/>
      <c r="E564" s="51"/>
      <c r="J564" s="2"/>
      <c r="K564" s="39"/>
      <c r="N564" s="39"/>
      <c r="R564" s="40"/>
      <c r="S564" s="40"/>
      <c r="T564" s="40"/>
      <c r="U564" s="40"/>
      <c r="V564" s="40"/>
      <c r="W564" s="40"/>
      <c r="X564" s="40"/>
      <c r="Y564" s="40"/>
      <c r="Z564" s="39"/>
    </row>
    <row r="565" spans="2:27" x14ac:dyDescent="0.25">
      <c r="B565" s="52" t="s">
        <v>301</v>
      </c>
    </row>
    <row r="566" spans="2:27" x14ac:dyDescent="0.25">
      <c r="B566" s="52" t="s">
        <v>302</v>
      </c>
    </row>
    <row r="567" spans="2:27" ht="36.75" customHeight="1" x14ac:dyDescent="0.25">
      <c r="B567" s="288" t="str">
        <f>("Un detalle del "&amp;B566&amp;" al "&amp;[1]BALANZA!$B$3&amp;" "&amp;[1]BALANZA!$C$3&amp;" es como se detalla a continuación:")</f>
        <v>Un detalle del Suministro y materiales para consumo al 31 de Diciembre del 2025 - 2024 es como se detalla a continuación:</v>
      </c>
      <c r="C567" s="289"/>
      <c r="D567" s="289"/>
      <c r="E567" s="289"/>
    </row>
    <row r="568" spans="2:27" ht="8.25" customHeight="1" x14ac:dyDescent="0.25">
      <c r="B568" s="10"/>
    </row>
    <row r="569" spans="2:27" x14ac:dyDescent="0.25">
      <c r="B569" s="163" t="s">
        <v>298</v>
      </c>
      <c r="C569" s="164">
        <f>+[1]BALANZA!B4</f>
        <v>2025</v>
      </c>
      <c r="D569" s="164">
        <f>+[1]BALANZA!C4</f>
        <v>2024</v>
      </c>
      <c r="E569" s="189" t="s">
        <v>219</v>
      </c>
    </row>
    <row r="570" spans="2:27" x14ac:dyDescent="0.25">
      <c r="B570" s="145" t="s">
        <v>303</v>
      </c>
      <c r="C570" s="237">
        <f>+'[1]BALANZA G'!C259+'[1]BALANZA G'!C261+'[1]BALANZA G'!C260+'[1]BALANZA G'!C297</f>
        <v>2765461.46</v>
      </c>
      <c r="D570" s="237">
        <f>+'[1]BALANZA G'!D259+'[1]BALANZA G'!D261+'[1]BALANZA G'!D260+'[1]BALANZA G'!D297</f>
        <v>866355.16</v>
      </c>
      <c r="E570" s="69">
        <f t="shared" ref="E570:E576" si="4">+C570-D570</f>
        <v>1899106.2999999998</v>
      </c>
      <c r="K570" s="2">
        <v>866355.16</v>
      </c>
      <c r="T570" s="86"/>
      <c r="Z570" s="2">
        <v>1008264.5</v>
      </c>
      <c r="AA570" s="195">
        <f t="shared" ref="AA570:AA575" si="5">+D570-Z570</f>
        <v>-141909.33999999997</v>
      </c>
    </row>
    <row r="571" spans="2:27" x14ac:dyDescent="0.25">
      <c r="B571" s="145" t="s">
        <v>304</v>
      </c>
      <c r="C571" s="237">
        <f>+'[1]BALANZA G'!C262+'[1]BALANZA G'!C263+'[1]BALANZA G'!C264</f>
        <v>636000</v>
      </c>
      <c r="D571" s="28">
        <f>+'[1]BALANZA G'!D262+'[1]BALANZA G'!D263+'[1]BALANZA G'!D264</f>
        <v>0</v>
      </c>
      <c r="E571" s="69">
        <f t="shared" si="4"/>
        <v>636000</v>
      </c>
      <c r="K571" s="2">
        <v>0</v>
      </c>
      <c r="T571" s="86"/>
      <c r="Z571" s="2">
        <v>1300</v>
      </c>
      <c r="AA571" s="195">
        <f t="shared" si="5"/>
        <v>-1300</v>
      </c>
    </row>
    <row r="572" spans="2:27" x14ac:dyDescent="0.25">
      <c r="B572" s="145" t="s">
        <v>305</v>
      </c>
      <c r="C572" s="237">
        <f>+'[1]BALANZA G'!C265+'[1]BALANZA G'!C267+'[1]BALANZA G'!C268+'[1]BALANZA G'!C266</f>
        <v>382921.93</v>
      </c>
      <c r="D572" s="28">
        <f>+'[1]BALANZA G'!D265+'[1]BALANZA G'!D267+'[1]BALANZA G'!D268+'[1]BALANZA G'!D266</f>
        <v>480383.55</v>
      </c>
      <c r="E572" s="69">
        <f t="shared" si="4"/>
        <v>-97461.62</v>
      </c>
      <c r="K572" s="2">
        <v>480383.55</v>
      </c>
      <c r="T572" s="86"/>
      <c r="Z572" s="2">
        <v>330702</v>
      </c>
      <c r="AA572" s="195">
        <f t="shared" si="5"/>
        <v>149681.54999999999</v>
      </c>
    </row>
    <row r="573" spans="2:27" x14ac:dyDescent="0.25">
      <c r="B573" s="145" t="s">
        <v>306</v>
      </c>
      <c r="C573" s="237">
        <f>+'[1]BALANZA G'!C270+'[1]BALANZA G'!C272+'[1]BALANZA G'!C276+'[1]BALANZA G'!C271</f>
        <v>9387735</v>
      </c>
      <c r="D573" s="28">
        <f>+'[1]BALANZA G'!D270+'[1]BALANZA G'!D272+'[1]BALANZA G'!D276+'[1]BALANZA G'!D271</f>
        <v>8347130</v>
      </c>
      <c r="E573" s="69">
        <f t="shared" si="4"/>
        <v>1040605</v>
      </c>
      <c r="K573" s="2">
        <v>8347130</v>
      </c>
      <c r="T573" s="86"/>
      <c r="Z573" s="2">
        <v>7580799</v>
      </c>
      <c r="AA573" s="195">
        <f t="shared" si="5"/>
        <v>766331</v>
      </c>
    </row>
    <row r="574" spans="2:27" x14ac:dyDescent="0.25">
      <c r="B574" s="145" t="s">
        <v>307</v>
      </c>
      <c r="C574" s="237">
        <f>+'[1]BALANZA G'!C273+'[1]BALANZA G'!C277+'[1]BALANZA G'!C275+'[1]BALANZA G'!C274+'[1]BALANZA G'!C279</f>
        <v>4567147.57</v>
      </c>
      <c r="D574" s="237">
        <f>+'[1]BALANZA G'!D273+'[1]BALANZA G'!D277+'[1]BALANZA G'!D275+'[1]BALANZA G'!D274+'[1]BALANZA G'!D279</f>
        <v>4435677.3899999997</v>
      </c>
      <c r="E574" s="69">
        <f t="shared" si="4"/>
        <v>131470.18000000063</v>
      </c>
      <c r="K574" s="2">
        <v>4435677.3899999997</v>
      </c>
      <c r="T574" s="86"/>
      <c r="Z574" s="2">
        <v>7786358.3699999992</v>
      </c>
      <c r="AA574" s="195">
        <f t="shared" si="5"/>
        <v>-3350680.9799999995</v>
      </c>
    </row>
    <row r="575" spans="2:27" x14ac:dyDescent="0.25">
      <c r="B575" s="145" t="s">
        <v>308</v>
      </c>
      <c r="C575" s="237">
        <f>+'[1]BALANZA G'!C280+'[1]BALANZA G'!C281+'[1]BALANZA G'!C282+'[1]BALANZA G'!C283+'[1]BALANZA G'!C284+'[1]BALANZA G'!C285+'[1]BALANZA G'!C302+'[1]BALANZA G'!C292+'[1]BALANZA G'!C293+'[1]BALANZA G'!C290+'[1]BALANZA G'!C291+'[1]BALANZA G'!C287+'[1]BALANZA G'!C288+'[1]BALANZA G'!C289+'[1]BALANZA G'!C294+'[1]BALANZA G'!C295+'[1]BALANZA G'!C296+'[1]BALANZA G'!C298+'[1]BALANZA G'!C300+'[1]BALANZA G'!C299+'[1]BALANZA G'!C286+'[1]BALANZA G'!C241</f>
        <v>9813882.0600000005</v>
      </c>
      <c r="D575" s="237">
        <f>+'[1]BALANZA G'!D280+'[1]BALANZA G'!D281+'[1]BALANZA G'!D282+'[1]BALANZA G'!D283+'[1]BALANZA G'!D284+'[1]BALANZA G'!D285+'[1]BALANZA G'!D302+'[1]BALANZA G'!D292+'[1]BALANZA G'!D293+'[1]BALANZA G'!D290+'[1]BALANZA G'!D291+'[1]BALANZA G'!D287+'[1]BALANZA G'!D288+'[1]BALANZA G'!D289+'[1]BALANZA G'!D294+'[1]BALANZA G'!D295+'[1]BALANZA G'!D296+'[1]BALANZA G'!D298+'[1]BALANZA G'!D300+'[1]BALANZA G'!D299+'[1]BALANZA G'!D286+'[1]BALANZA G'!D241</f>
        <v>12024201.759999998</v>
      </c>
      <c r="E575" s="69">
        <f t="shared" si="4"/>
        <v>-2210319.6999999974</v>
      </c>
      <c r="K575" s="2">
        <v>12024201.759999998</v>
      </c>
      <c r="T575" s="86"/>
      <c r="Z575" s="2">
        <v>3423165.7</v>
      </c>
      <c r="AA575" s="195">
        <f t="shared" si="5"/>
        <v>8601036.0599999987</v>
      </c>
    </row>
    <row r="576" spans="2:27" x14ac:dyDescent="0.25">
      <c r="B576" s="145" t="s">
        <v>309</v>
      </c>
      <c r="C576" s="237">
        <f>+'[1]BALANZA G'!C302</f>
        <v>0</v>
      </c>
      <c r="D576" s="28">
        <f>+'[1]BALANZA G'!D303-160568.42</f>
        <v>0</v>
      </c>
      <c r="E576" s="69">
        <f t="shared" si="4"/>
        <v>0</v>
      </c>
      <c r="K576" s="2">
        <v>0</v>
      </c>
    </row>
    <row r="577" spans="2:26" x14ac:dyDescent="0.25">
      <c r="B577" s="226" t="s">
        <v>310</v>
      </c>
      <c r="C577" s="37">
        <f>SUM(C570:C576)</f>
        <v>27553148.020000003</v>
      </c>
      <c r="D577" s="81">
        <f>SUM(D570:D576)</f>
        <v>26153747.859999999</v>
      </c>
      <c r="E577" s="37">
        <f>SUM(E570:E576)</f>
        <v>1399400.1600000029</v>
      </c>
      <c r="K577" s="2">
        <v>26153747.859999999</v>
      </c>
    </row>
    <row r="578" spans="2:26" x14ac:dyDescent="0.25">
      <c r="B578" s="238"/>
      <c r="C578" s="82">
        <f>+C577-[1]ERF!B19</f>
        <v>0</v>
      </c>
      <c r="D578" s="74"/>
      <c r="E578" s="75"/>
      <c r="J578" s="39"/>
    </row>
    <row r="579" spans="2:26" s="35" customFormat="1" x14ac:dyDescent="0.25">
      <c r="B579" s="284" t="str">
        <f>("Cambio porcentual con relación al "&amp;$D$118&amp;".")</f>
        <v>Cambio porcentual con relación al 2024.</v>
      </c>
      <c r="C579" s="285"/>
      <c r="D579" s="45" t="str">
        <f>IF(E579&gt;=0,"Aumento","Disminución")</f>
        <v>Aumento</v>
      </c>
      <c r="E579" s="76">
        <f>+E577/D577</f>
        <v>5.3506677799714894E-2</v>
      </c>
      <c r="J579" s="2"/>
      <c r="K579" s="39"/>
      <c r="N579" s="39"/>
      <c r="R579" s="40"/>
      <c r="S579" s="40"/>
      <c r="T579" s="40"/>
      <c r="U579" s="40"/>
      <c r="V579" s="40"/>
      <c r="W579" s="40"/>
      <c r="X579" s="40"/>
      <c r="Y579" s="40"/>
      <c r="Z579" s="39"/>
    </row>
    <row r="580" spans="2:26" x14ac:dyDescent="0.25">
      <c r="B580" s="50"/>
      <c r="C580" s="50"/>
      <c r="D580" s="239"/>
      <c r="E580" s="51"/>
    </row>
    <row r="581" spans="2:26" ht="44.25" customHeight="1" x14ac:dyDescent="0.25">
      <c r="B581" s="50"/>
      <c r="C581" s="50"/>
      <c r="D581" s="239"/>
      <c r="E581" s="51"/>
    </row>
    <row r="582" spans="2:26" x14ac:dyDescent="0.25">
      <c r="B582" s="52" t="s">
        <v>311</v>
      </c>
    </row>
    <row r="583" spans="2:26" x14ac:dyDescent="0.25">
      <c r="B583" s="52" t="s">
        <v>312</v>
      </c>
    </row>
    <row r="584" spans="2:26" x14ac:dyDescent="0.25">
      <c r="B584" s="288" t="str">
        <f>("Un detalle del "&amp;B583&amp;" al "&amp;[1]BALANZA!$B$3&amp;" "&amp;[1]BALANZA!$C$3&amp;" es como se detalla a continuación:")</f>
        <v>Un detalle del Gasto de Depreciación y Amortización al 31 de Diciembre del 2025 - 2024 es como se detalla a continuación:</v>
      </c>
      <c r="C584" s="289"/>
      <c r="D584" s="289"/>
      <c r="E584" s="289"/>
    </row>
    <row r="585" spans="2:26" x14ac:dyDescent="0.25">
      <c r="B585" s="10"/>
    </row>
    <row r="586" spans="2:26" x14ac:dyDescent="0.25">
      <c r="B586" s="163" t="s">
        <v>298</v>
      </c>
      <c r="C586" s="164" t="str">
        <f>+[1]BALANZA!B21</f>
        <v>OTROS EQUIPOS</v>
      </c>
      <c r="D586" s="164">
        <f>+[1]BALANZA!C21</f>
        <v>792057</v>
      </c>
      <c r="E586" s="189" t="s">
        <v>219</v>
      </c>
    </row>
    <row r="587" spans="2:26" x14ac:dyDescent="0.25">
      <c r="B587" s="145" t="s">
        <v>313</v>
      </c>
      <c r="C587" s="237">
        <f>+[1]nota12!K29</f>
        <v>46443109.390000008</v>
      </c>
      <c r="D587" s="28">
        <f>+[1]nota12!K14</f>
        <v>57143407.930000007</v>
      </c>
      <c r="E587" s="69">
        <f>+C587-D587</f>
        <v>-10700298.539999999</v>
      </c>
    </row>
    <row r="588" spans="2:26" x14ac:dyDescent="0.25">
      <c r="B588" s="145" t="s">
        <v>314</v>
      </c>
      <c r="C588" s="237">
        <f>+'[1]BALANZA G'!C303</f>
        <v>86900</v>
      </c>
      <c r="D588" s="237">
        <f>-D373</f>
        <v>160568.42000000001</v>
      </c>
      <c r="E588" s="69">
        <f>+C588-D588</f>
        <v>-73668.420000000013</v>
      </c>
    </row>
    <row r="589" spans="2:26" x14ac:dyDescent="0.25">
      <c r="B589" s="145"/>
      <c r="C589" s="237"/>
      <c r="D589" s="28"/>
      <c r="E589" s="69">
        <f>+C589-D589</f>
        <v>0</v>
      </c>
    </row>
    <row r="590" spans="2:26" x14ac:dyDescent="0.25">
      <c r="B590" s="226" t="s">
        <v>315</v>
      </c>
      <c r="C590" s="37">
        <f>SUM(C587:C589)</f>
        <v>46530009.390000008</v>
      </c>
      <c r="D590" s="81">
        <f>SUM(D587:D589)</f>
        <v>57303976.350000009</v>
      </c>
      <c r="E590" s="37">
        <f>SUM(E587:E589)</f>
        <v>-10773966.959999999</v>
      </c>
    </row>
    <row r="591" spans="2:26" x14ac:dyDescent="0.25">
      <c r="B591" s="238"/>
      <c r="C591" s="240">
        <f>+C590-[1]ERF!B20</f>
        <v>0</v>
      </c>
      <c r="D591" s="240">
        <f>+D590-[1]ERF!C20</f>
        <v>0</v>
      </c>
      <c r="E591" s="75"/>
    </row>
    <row r="592" spans="2:26" x14ac:dyDescent="0.25">
      <c r="B592" s="284" t="str">
        <f>("Cambio porcentual con relación al "&amp;$D$118&amp;".")</f>
        <v>Cambio porcentual con relación al 2024.</v>
      </c>
      <c r="C592" s="285"/>
      <c r="D592" s="45" t="str">
        <f>IF(E592&gt;=0,"Aumento","Disminución")</f>
        <v>Disminución</v>
      </c>
      <c r="E592" s="76">
        <f>+E590/D590</f>
        <v>-0.1880142992904191</v>
      </c>
    </row>
    <row r="593" spans="2:21" x14ac:dyDescent="0.25">
      <c r="B593" s="50"/>
      <c r="C593" s="50"/>
      <c r="D593" s="239"/>
      <c r="E593" s="51"/>
    </row>
    <row r="594" spans="2:21" x14ac:dyDescent="0.25">
      <c r="B594" s="50"/>
      <c r="C594" s="50"/>
      <c r="D594" s="239"/>
      <c r="E594" s="51"/>
    </row>
    <row r="595" spans="2:21" ht="11.25" customHeight="1" x14ac:dyDescent="0.25">
      <c r="B595" s="50"/>
      <c r="C595" s="241"/>
      <c r="D595" s="239"/>
      <c r="E595" s="51"/>
    </row>
    <row r="596" spans="2:21" ht="9.75" customHeight="1" x14ac:dyDescent="0.25">
      <c r="B596" s="50"/>
      <c r="C596" s="50"/>
      <c r="D596" s="239"/>
      <c r="E596" s="51"/>
    </row>
    <row r="597" spans="2:21" ht="56.25" customHeight="1" x14ac:dyDescent="0.25">
      <c r="B597" s="50"/>
      <c r="C597" s="50"/>
      <c r="D597" s="239"/>
      <c r="E597" s="51"/>
    </row>
    <row r="598" spans="2:21" ht="16.5" customHeight="1" x14ac:dyDescent="0.25">
      <c r="B598" s="242" t="s">
        <v>316</v>
      </c>
    </row>
    <row r="599" spans="2:21" x14ac:dyDescent="0.25">
      <c r="B599" s="242" t="s">
        <v>317</v>
      </c>
    </row>
    <row r="600" spans="2:21" ht="18.75" customHeight="1" x14ac:dyDescent="0.25">
      <c r="B600" s="288" t="str">
        <f>("Un detalle de "&amp;B599&amp;" al "&amp;[1]BALANZA!$B$3&amp;" "&amp;[1]BALANZA!$C$3&amp;" es como se detalla a continuación:")</f>
        <v>Un detalle de Otros gastos  al 31 de Diciembre del 2025 - 2024 es como se detalla a continuación:</v>
      </c>
      <c r="C600" s="289"/>
      <c r="D600" s="289"/>
      <c r="E600" s="289"/>
    </row>
    <row r="601" spans="2:21" ht="8.25" customHeight="1" x14ac:dyDescent="0.25">
      <c r="B601" s="10"/>
      <c r="G601" s="8"/>
    </row>
    <row r="602" spans="2:21" ht="18.75" customHeight="1" x14ac:dyDescent="0.25">
      <c r="B602" s="23" t="s">
        <v>318</v>
      </c>
      <c r="C602" s="24">
        <f>+[1]BALANZA!B4</f>
        <v>2025</v>
      </c>
      <c r="D602" s="24">
        <f>+[1]BALANZA!C4</f>
        <v>2024</v>
      </c>
      <c r="E602" s="189" t="s">
        <v>219</v>
      </c>
    </row>
    <row r="603" spans="2:21" x14ac:dyDescent="0.25">
      <c r="B603" s="102" t="s">
        <v>319</v>
      </c>
      <c r="C603" s="243">
        <f>+'[1]BALANZA G'!C204+'[1]BALANZA G'!C205+'[1]BALANZA G'!C206+'[1]BALANZA G'!C207</f>
        <v>3043466.5100000002</v>
      </c>
      <c r="D603" s="243">
        <f>+'[1]BALANZA G'!D204+'[1]BALANZA G'!D205+'[1]BALANZA G'!D206+'[1]BALANZA G'!D207</f>
        <v>2898777.65</v>
      </c>
      <c r="E603" s="34">
        <f>+C603-D603</f>
        <v>144688.86000000034</v>
      </c>
      <c r="I603" s="78"/>
      <c r="K603" s="2">
        <v>2898777.65</v>
      </c>
      <c r="U603" s="196"/>
    </row>
    <row r="604" spans="2:21" x14ac:dyDescent="0.25">
      <c r="B604" s="102" t="s">
        <v>320</v>
      </c>
      <c r="C604" s="243">
        <f>+'[1]BALANZA G'!C208</f>
        <v>72820992.290000007</v>
      </c>
      <c r="D604" s="243">
        <f>+'[1]BALANZA G'!D208</f>
        <v>63713429.090000004</v>
      </c>
      <c r="E604" s="34">
        <f>+C604-D604</f>
        <v>9107563.200000003</v>
      </c>
      <c r="I604" s="78"/>
      <c r="K604" s="2">
        <v>63713429.090000004</v>
      </c>
      <c r="U604" s="196"/>
    </row>
    <row r="605" spans="2:21" x14ac:dyDescent="0.25">
      <c r="B605" s="145" t="s">
        <v>321</v>
      </c>
      <c r="C605" s="243">
        <f>+'[1]BALANZA G'!C212+'[1]BALANZA G'!C209+'[1]BALANZA G'!C210</f>
        <v>1240392.55</v>
      </c>
      <c r="D605" s="243">
        <f>+'[1]BALANZA G'!D212+'[1]BALANZA G'!D209+'[1]BALANZA G'!D210</f>
        <v>1132137.44</v>
      </c>
      <c r="E605" s="34">
        <f t="shared" ref="E605:E611" si="6">+C605-D605</f>
        <v>108255.1100000001</v>
      </c>
      <c r="I605" s="78"/>
      <c r="K605" s="2">
        <v>1132137.44</v>
      </c>
      <c r="U605" s="196"/>
    </row>
    <row r="606" spans="2:21" x14ac:dyDescent="0.25">
      <c r="B606" s="145" t="s">
        <v>322</v>
      </c>
      <c r="C606" s="243">
        <f>+'[1]BALANZA G'!C214+'[1]BALANZA G'!C213+'[1]BALANZA G'!C211</f>
        <v>984627</v>
      </c>
      <c r="D606" s="243">
        <f>+'[1]BALANZA G'!D211+'[1]BALANZA G'!D213+'[1]BALANZA G'!D214</f>
        <v>925630</v>
      </c>
      <c r="E606" s="34">
        <f t="shared" si="6"/>
        <v>58997</v>
      </c>
      <c r="I606" s="78"/>
      <c r="K606" s="2">
        <v>925630</v>
      </c>
      <c r="U606" s="196"/>
    </row>
    <row r="607" spans="2:21" x14ac:dyDescent="0.25">
      <c r="B607" s="145" t="s">
        <v>323</v>
      </c>
      <c r="C607" s="243">
        <f>+'[1]BALANZA G'!C217+'[1]BALANZA G'!C216+'[1]BALANZA G'!C215</f>
        <v>0</v>
      </c>
      <c r="D607" s="243">
        <f>+'[1]BALANZA G'!D217+'[1]BALANZA G'!D216+'[1]BALANZA G'!D215</f>
        <v>175</v>
      </c>
      <c r="E607" s="34">
        <f t="shared" si="6"/>
        <v>-175</v>
      </c>
      <c r="I607" s="78"/>
      <c r="K607" s="2">
        <v>175</v>
      </c>
      <c r="U607" s="196"/>
    </row>
    <row r="608" spans="2:21" x14ac:dyDescent="0.25">
      <c r="B608" s="102" t="s">
        <v>324</v>
      </c>
      <c r="C608" s="243">
        <f>+'[1]BALANZA G'!C219+'[1]BALANZA G'!C220+'[1]BALANZA G'!C222+'[1]BALANZA G'!C223+'[1]BALANZA G'!C224+'[1]BALANZA G'!C221+'[1]BALANZA G'!C225</f>
        <v>3525989.46</v>
      </c>
      <c r="D608" s="243">
        <f>+'[1]BALANZA G'!D219+'[1]BALANZA G'!D220+'[1]BALANZA G'!D222+'[1]BALANZA G'!D223+'[1]BALANZA G'!D224+'[1]BALANZA G'!D221+'[1]BALANZA G'!D225</f>
        <v>3151848.58</v>
      </c>
      <c r="E608" s="34">
        <f t="shared" si="6"/>
        <v>374140.87999999989</v>
      </c>
      <c r="G608" s="195">
        <f>+K608-D608</f>
        <v>0</v>
      </c>
      <c r="I608" s="78"/>
      <c r="K608" s="2">
        <v>3151848.58</v>
      </c>
      <c r="U608" s="196"/>
    </row>
    <row r="609" spans="2:26" x14ac:dyDescent="0.25">
      <c r="B609" s="102" t="s">
        <v>325</v>
      </c>
      <c r="C609" s="243">
        <f>+'[1]BALANZA G'!C226+'[1]BALANZA G'!C227</f>
        <v>656678.94999999995</v>
      </c>
      <c r="D609" s="243">
        <f>+'[1]BALANZA G'!D227+'[1]BALANZA G'!D226</f>
        <v>657127.22</v>
      </c>
      <c r="E609" s="34">
        <f t="shared" si="6"/>
        <v>-448.27000000001863</v>
      </c>
      <c r="I609" s="78"/>
      <c r="K609" s="2">
        <v>657127.22</v>
      </c>
      <c r="U609" s="196"/>
    </row>
    <row r="610" spans="2:26" ht="30" x14ac:dyDescent="0.25">
      <c r="B610" s="145" t="s">
        <v>326</v>
      </c>
      <c r="C610" s="243">
        <f>+'[1]BALANZA G'!C229+'[1]BALANZA G'!C230+'[1]BALANZA G'!C231+'[1]BALANZA G'!C232+'[1]BALANZA G'!C233+'[1]BALANZA G'!C235+'[1]BALANZA G'!C237+'[1]BALANZA G'!C238+'[1]BALANZA G'!C239+'[1]BALANZA G'!C240+'[1]BALANZA G'!C242+'[1]BALANZA G'!C243+'[1]BALANZA G'!C244+'[1]BALANZA G'!C234</f>
        <v>5248535.1899999995</v>
      </c>
      <c r="D610" s="243">
        <f>+'[1]BALANZA G'!D229+'[1]BALANZA G'!D230+'[1]BALANZA G'!D231+'[1]BALANZA G'!D232+'[1]BALANZA G'!D233+'[1]BALANZA G'!D235+'[1]BALANZA G'!D237+'[1]BALANZA G'!D238+'[1]BALANZA G'!D239+'[1]BALANZA G'!D240+'[1]BALANZA G'!D242+'[1]BALANZA G'!D243+'[1]BALANZA G'!D244+'[1]BALANZA G'!D234</f>
        <v>9859491.7400000002</v>
      </c>
      <c r="E610" s="244">
        <f t="shared" si="6"/>
        <v>-4610956.5500000007</v>
      </c>
      <c r="I610" s="78"/>
      <c r="K610" s="2">
        <v>9859491.7400000002</v>
      </c>
      <c r="U610" s="196"/>
    </row>
    <row r="611" spans="2:26" ht="21.75" customHeight="1" x14ac:dyDescent="0.25">
      <c r="B611" s="145" t="s">
        <v>327</v>
      </c>
      <c r="C611" s="243">
        <f>+'[1]BALANZA G'!C246+'[1]BALANZA G'!C247+'[1]BALANZA G'!C249+'[1]BALANZA G'!C250+'[1]BALANZA G'!C251+'[1]BALANZA G'!C253+'[1]BALANZA G'!C198+'[1]BALANZA G'!C199+'[1]BALANZA G'!C203+'[1]BALANZA G'!C252</f>
        <v>8700280.1900000013</v>
      </c>
      <c r="D611" s="243">
        <f>+'[1]BALANZA G'!D198+'[1]BALANZA G'!D199+'[1]BALANZA G'!D246+'[1]BALANZA G'!D249+'[1]BALANZA G'!D250+'[1]BALANZA G'!D251+'[1]BALANZA G'!D253+'[1]BALANZA G'!D247+'[1]BALANZA G'!D203+'[1]BALANZA G'!D252</f>
        <v>7481995.21</v>
      </c>
      <c r="E611" s="245">
        <f t="shared" si="6"/>
        <v>1218284.9800000014</v>
      </c>
      <c r="I611" s="78"/>
      <c r="K611" s="2">
        <v>7481995.21</v>
      </c>
      <c r="U611" s="196"/>
    </row>
    <row r="612" spans="2:26" ht="18.75" customHeight="1" x14ac:dyDescent="0.25">
      <c r="B612" s="71" t="s">
        <v>328</v>
      </c>
      <c r="C612" s="37">
        <f>SUM(C603:C611)</f>
        <v>96220962.140000001</v>
      </c>
      <c r="D612" s="95">
        <f>SUM(D603:D611)</f>
        <v>89820611.929999992</v>
      </c>
      <c r="E612" s="246">
        <f>SUM(E603:E611)</f>
        <v>6400350.2100000018</v>
      </c>
      <c r="K612" s="2">
        <v>89820611.929999992</v>
      </c>
    </row>
    <row r="613" spans="2:26" ht="12.75" customHeight="1" x14ac:dyDescent="0.25">
      <c r="B613" s="10" t="s">
        <v>112</v>
      </c>
      <c r="C613" s="228">
        <f>+C612-[1]ERF!B22</f>
        <v>0</v>
      </c>
      <c r="J613" s="39"/>
    </row>
    <row r="614" spans="2:26" s="35" customFormat="1" x14ac:dyDescent="0.25">
      <c r="B614" s="284" t="str">
        <f>("Cambio porcentual con relación al "&amp;$D$118&amp;".")</f>
        <v>Cambio porcentual con relación al 2024.</v>
      </c>
      <c r="C614" s="285"/>
      <c r="D614" s="45" t="str">
        <f>IF(E614&gt;=0,"Aumento","Disminución")</f>
        <v>Aumento</v>
      </c>
      <c r="E614" s="76">
        <f>+E612/D612</f>
        <v>7.1257031904748039E-2</v>
      </c>
      <c r="J614" s="2"/>
      <c r="K614" s="39"/>
      <c r="N614" s="39"/>
      <c r="R614" s="40"/>
      <c r="S614" s="40"/>
      <c r="T614" s="40"/>
      <c r="U614" s="40"/>
      <c r="V614" s="40"/>
      <c r="W614" s="40"/>
      <c r="X614" s="40"/>
      <c r="Y614" s="40"/>
      <c r="Z614" s="39"/>
    </row>
    <row r="615" spans="2:26" s="35" customFormat="1" x14ac:dyDescent="0.25">
      <c r="B615" s="50"/>
      <c r="C615" s="50"/>
      <c r="D615" s="48"/>
      <c r="E615" s="51"/>
      <c r="J615" s="2"/>
      <c r="K615" s="39"/>
      <c r="N615" s="39"/>
      <c r="R615" s="40"/>
      <c r="S615" s="40"/>
      <c r="T615" s="40"/>
      <c r="U615" s="40"/>
      <c r="V615" s="40"/>
      <c r="W615" s="40"/>
      <c r="X615" s="40"/>
      <c r="Y615" s="40"/>
      <c r="Z615" s="39"/>
    </row>
    <row r="616" spans="2:26" s="35" customFormat="1" x14ac:dyDescent="0.25">
      <c r="B616" s="50"/>
      <c r="C616" s="50"/>
      <c r="D616" s="48"/>
      <c r="E616" s="51"/>
      <c r="J616" s="2"/>
      <c r="K616" s="39"/>
      <c r="N616" s="39"/>
      <c r="R616" s="40"/>
      <c r="S616" s="40"/>
      <c r="T616" s="40"/>
      <c r="U616" s="40"/>
      <c r="V616" s="40"/>
      <c r="W616" s="40"/>
      <c r="X616" s="40"/>
      <c r="Y616" s="40"/>
      <c r="Z616" s="39"/>
    </row>
    <row r="617" spans="2:26" ht="10.5" customHeight="1" x14ac:dyDescent="0.25">
      <c r="B617" s="50"/>
      <c r="C617" s="50"/>
      <c r="D617" s="239"/>
      <c r="E617" s="51"/>
    </row>
    <row r="618" spans="2:26" x14ac:dyDescent="0.25">
      <c r="B618" s="52" t="s">
        <v>329</v>
      </c>
    </row>
    <row r="619" spans="2:26" ht="21" customHeight="1" x14ac:dyDescent="0.25">
      <c r="B619" s="52" t="s">
        <v>330</v>
      </c>
    </row>
    <row r="620" spans="2:26" ht="30" customHeight="1" x14ac:dyDescent="0.25">
      <c r="B620" s="288" t="str">
        <f>("Un detalle del "&amp;B619&amp;" al "&amp;[1]BALANZA!$B$3&amp;" "&amp;[1]BALANZA!$C$3&amp;" es como se detalla a continuación:")</f>
        <v>Un detalle del Gastos Financieros  al 31 de Diciembre del 2025 - 2024 es como se detalla a continuación:</v>
      </c>
      <c r="C620" s="289"/>
      <c r="D620" s="289"/>
      <c r="E620" s="289"/>
    </row>
    <row r="621" spans="2:26" ht="13.5" customHeight="1" x14ac:dyDescent="0.25">
      <c r="B621" s="1"/>
    </row>
    <row r="622" spans="2:26" x14ac:dyDescent="0.25">
      <c r="B622" s="26" t="str">
        <f>+B602</f>
        <v>PARTIDA</v>
      </c>
      <c r="C622" s="247">
        <f>+C602</f>
        <v>2025</v>
      </c>
      <c r="D622" s="247">
        <f>+D602</f>
        <v>2024</v>
      </c>
      <c r="E622" s="189" t="s">
        <v>219</v>
      </c>
    </row>
    <row r="623" spans="2:26" x14ac:dyDescent="0.25">
      <c r="B623" s="145" t="s">
        <v>331</v>
      </c>
      <c r="C623" s="28">
        <f>+'[1]BALANZA G'!C248</f>
        <v>692897.94</v>
      </c>
      <c r="D623" s="28">
        <f>+'[1]BALANZA G'!D248</f>
        <v>755694.55</v>
      </c>
      <c r="E623" s="34">
        <f>+C623-D623</f>
        <v>-62796.610000000102</v>
      </c>
    </row>
    <row r="624" spans="2:26" hidden="1" x14ac:dyDescent="0.25">
      <c r="B624" s="145" t="s">
        <v>332</v>
      </c>
      <c r="C624" s="28">
        <f>+'[1]BALANZA G'!C254</f>
        <v>0</v>
      </c>
      <c r="D624" s="28">
        <f>+'[1]BALANZA G'!D254</f>
        <v>0</v>
      </c>
      <c r="E624" s="34">
        <f>+C624-D624</f>
        <v>0</v>
      </c>
    </row>
    <row r="625" spans="2:26" x14ac:dyDescent="0.25">
      <c r="B625" s="226" t="s">
        <v>333</v>
      </c>
      <c r="C625" s="81">
        <f>SUM(C623:C624)</f>
        <v>692897.94</v>
      </c>
      <c r="D625" s="81">
        <f>SUM(D623:D624)</f>
        <v>755694.55</v>
      </c>
      <c r="E625" s="81">
        <f>SUM(E623:E624)</f>
        <v>-62796.610000000102</v>
      </c>
    </row>
    <row r="626" spans="2:26" x14ac:dyDescent="0.25">
      <c r="B626" s="248"/>
      <c r="C626" s="89">
        <f>+C625-[1]ERF!B23</f>
        <v>0</v>
      </c>
      <c r="D626" s="90"/>
      <c r="E626" s="91"/>
      <c r="J626" s="39"/>
    </row>
    <row r="627" spans="2:26" s="35" customFormat="1" x14ac:dyDescent="0.25">
      <c r="B627" s="284" t="str">
        <f>("Cambio porcentual con relación al "&amp;$D$118&amp;".")</f>
        <v>Cambio porcentual con relación al 2024.</v>
      </c>
      <c r="C627" s="285"/>
      <c r="D627" s="45" t="str">
        <f>IF(E627&gt;=0,"Aumento","Disminución")</f>
        <v>Disminución</v>
      </c>
      <c r="E627" s="76">
        <f>+E625/D625</f>
        <v>-8.3097873340491998E-2</v>
      </c>
      <c r="J627" s="2"/>
      <c r="K627" s="39"/>
      <c r="N627" s="39"/>
      <c r="R627" s="40"/>
      <c r="S627" s="40"/>
      <c r="T627" s="40"/>
      <c r="U627" s="40"/>
      <c r="V627" s="40"/>
      <c r="W627" s="40"/>
      <c r="X627" s="40"/>
      <c r="Y627" s="40"/>
      <c r="Z627" s="39"/>
    </row>
    <row r="628" spans="2:26" x14ac:dyDescent="0.25">
      <c r="B628" s="50"/>
      <c r="C628" s="50"/>
      <c r="D628" s="239"/>
      <c r="E628" s="51"/>
    </row>
    <row r="629" spans="2:26" x14ac:dyDescent="0.25">
      <c r="B629" s="52" t="s">
        <v>334</v>
      </c>
      <c r="C629" s="50"/>
      <c r="D629" s="239"/>
      <c r="E629" s="51"/>
    </row>
    <row r="630" spans="2:26" x14ac:dyDescent="0.25">
      <c r="B630" s="52" t="s">
        <v>335</v>
      </c>
      <c r="C630" s="50"/>
      <c r="D630" s="239"/>
      <c r="E630" s="51"/>
    </row>
    <row r="631" spans="2:26" ht="15" customHeight="1" x14ac:dyDescent="0.25">
      <c r="B631" s="288" t="str">
        <f>("Un detalle de "&amp;B630&amp;" al "&amp;[1]BALANZA!$B$3&amp;" "&amp;[1]BALANZA!$C$3&amp;" es como se detalla a continuación:")</f>
        <v>Un detalle de Compromisos y contingencias al 31 de Diciembre del 2025 - 2024 es como se detalla a continuación:</v>
      </c>
      <c r="C631" s="289"/>
      <c r="D631" s="289"/>
      <c r="E631" s="289"/>
    </row>
    <row r="632" spans="2:26" ht="41.25" customHeight="1" x14ac:dyDescent="0.25">
      <c r="B632" s="283" t="str">
        <f>("La facturación historica no cobrada a la fecha de corte, para el "&amp;C634&amp;" presenta un monto de RD$"&amp;R637&amp;" y para el "&amp;D634&amp;" presenta un monto de RD$"&amp;R638&amp;"." )</f>
        <v>La facturación historica no cobrada a la fecha de corte, para el 2025 presenta un monto de RD$513,985,120.94 y para el 2024 presenta un monto de RD$453,841,689.00.</v>
      </c>
      <c r="C632" s="283"/>
      <c r="D632" s="283"/>
      <c r="E632" s="283"/>
    </row>
    <row r="633" spans="2:26" ht="13.5" customHeight="1" x14ac:dyDescent="0.25">
      <c r="B633" s="283"/>
      <c r="C633" s="283"/>
      <c r="D633" s="283"/>
      <c r="E633" s="283"/>
    </row>
    <row r="634" spans="2:26" x14ac:dyDescent="0.25">
      <c r="B634" s="247" t="str">
        <f>+B622</f>
        <v>PARTIDA</v>
      </c>
      <c r="C634" s="247">
        <f>+C622</f>
        <v>2025</v>
      </c>
      <c r="D634" s="247">
        <f>+D622</f>
        <v>2024</v>
      </c>
      <c r="E634" s="189" t="s">
        <v>219</v>
      </c>
    </row>
    <row r="635" spans="2:26" x14ac:dyDescent="0.25">
      <c r="B635" s="145" t="s">
        <v>336</v>
      </c>
      <c r="C635" s="237">
        <f>+C651</f>
        <v>1817264</v>
      </c>
      <c r="D635" s="237">
        <f>+D651</f>
        <v>7909235</v>
      </c>
      <c r="E635" s="69">
        <f>+C635-D635</f>
        <v>-6091971</v>
      </c>
    </row>
    <row r="636" spans="2:26" x14ac:dyDescent="0.25">
      <c r="B636" s="145" t="s">
        <v>337</v>
      </c>
      <c r="C636" s="237">
        <f>+C662-C635</f>
        <v>512167856.94</v>
      </c>
      <c r="D636" s="237">
        <f>+D662-D635</f>
        <v>445932454</v>
      </c>
      <c r="E636" s="69">
        <f>+C636-D636</f>
        <v>66235402.939999998</v>
      </c>
    </row>
    <row r="637" spans="2:26" x14ac:dyDescent="0.25">
      <c r="B637" s="226" t="s">
        <v>338</v>
      </c>
      <c r="C637" s="37">
        <f>SUM(C635:C636)</f>
        <v>513985120.94</v>
      </c>
      <c r="D637" s="37">
        <f>SUM(D635:D636)</f>
        <v>453841689</v>
      </c>
      <c r="E637" s="37">
        <f>SUM(E635:E636)</f>
        <v>60143431.939999998</v>
      </c>
      <c r="R637" s="3" t="str">
        <f>+CONCATENATE(S637,",",T637,",",U637,V637,AB637)</f>
        <v>513,985,120.94</v>
      </c>
      <c r="S637" s="3" t="str">
        <f>MID(C637,1,3)</f>
        <v>513</v>
      </c>
      <c r="T637" s="3" t="str">
        <f>MID(C637,4,3)</f>
        <v>985</v>
      </c>
      <c r="U637" s="3" t="str">
        <f>MID(C637,7,3)</f>
        <v>120</v>
      </c>
      <c r="V637" s="3" t="str">
        <f>MID(C637,10,3)</f>
        <v>.94</v>
      </c>
    </row>
    <row r="638" spans="2:26" x14ac:dyDescent="0.25">
      <c r="B638" s="248"/>
      <c r="C638" s="249"/>
      <c r="D638" s="90"/>
      <c r="E638" s="91"/>
      <c r="J638" s="39"/>
      <c r="R638" s="3" t="str">
        <f>+CONCATENATE(S638,",",T638,",",U638,V638,AB638,".00")</f>
        <v>453,841,689.00</v>
      </c>
      <c r="S638" s="3" t="str">
        <f>MID(D637,1,3)</f>
        <v>453</v>
      </c>
      <c r="T638" s="3" t="str">
        <f>MID(D637,4,3)</f>
        <v>841</v>
      </c>
      <c r="U638" s="3" t="str">
        <f>MID(D637,7,3)</f>
        <v>689</v>
      </c>
      <c r="V638" s="3" t="str">
        <f>MID(D637,10,3)</f>
        <v/>
      </c>
    </row>
    <row r="639" spans="2:26" s="35" customFormat="1" x14ac:dyDescent="0.25">
      <c r="B639" s="284" t="str">
        <f>("Cambio porcentual con relación al "&amp;$D$118&amp;".")</f>
        <v>Cambio porcentual con relación al 2024.</v>
      </c>
      <c r="C639" s="285"/>
      <c r="D639" s="250" t="str">
        <f>IF(E639&gt;=0,"Aumento","Disminución")</f>
        <v>Aumento</v>
      </c>
      <c r="E639" s="251">
        <f>IFERROR((+E637/D637),0)</f>
        <v>0.13252073002046313</v>
      </c>
      <c r="J639" s="2"/>
      <c r="K639" s="39"/>
      <c r="N639" s="39"/>
      <c r="R639" s="40"/>
      <c r="S639" s="40"/>
      <c r="T639" s="40"/>
      <c r="U639" s="40"/>
      <c r="V639" s="40"/>
      <c r="W639" s="40"/>
      <c r="X639" s="40"/>
      <c r="Y639" s="40"/>
      <c r="Z639" s="39"/>
    </row>
    <row r="640" spans="2:26" s="35" customFormat="1" x14ac:dyDescent="0.25">
      <c r="B640" s="47"/>
      <c r="C640" s="47"/>
      <c r="D640" s="252"/>
      <c r="E640" s="253"/>
      <c r="J640" s="2"/>
      <c r="K640" s="39"/>
      <c r="N640" s="39"/>
      <c r="R640" s="40"/>
      <c r="S640" s="40"/>
      <c r="T640" s="40"/>
      <c r="U640" s="40"/>
      <c r="V640" s="40"/>
      <c r="W640" s="40"/>
      <c r="X640" s="40"/>
      <c r="Y640" s="40"/>
      <c r="Z640" s="39"/>
    </row>
    <row r="641" spans="2:26" s="35" customFormat="1" x14ac:dyDescent="0.25">
      <c r="B641" s="47"/>
      <c r="C641" s="47"/>
      <c r="D641" s="252"/>
      <c r="E641" s="253"/>
      <c r="J641" s="2"/>
      <c r="K641" s="39"/>
      <c r="N641" s="39"/>
      <c r="R641" s="40"/>
      <c r="S641" s="40"/>
      <c r="T641" s="40"/>
      <c r="U641" s="40"/>
      <c r="V641" s="40"/>
      <c r="W641" s="40"/>
      <c r="X641" s="40"/>
      <c r="Y641" s="40"/>
      <c r="Z641" s="39"/>
    </row>
    <row r="642" spans="2:26" ht="13.5" customHeight="1" x14ac:dyDescent="0.25">
      <c r="B642" s="12"/>
      <c r="C642" s="12"/>
      <c r="D642" s="12"/>
      <c r="E642" s="12"/>
    </row>
    <row r="643" spans="2:26" ht="14.25" customHeight="1" x14ac:dyDescent="0.25"/>
    <row r="644" spans="2:26" ht="41.25" customHeight="1" x14ac:dyDescent="0.25"/>
    <row r="645" spans="2:26" ht="70.5" customHeight="1" x14ac:dyDescent="0.25">
      <c r="B645" s="286" t="s">
        <v>339</v>
      </c>
      <c r="C645" s="286"/>
      <c r="D645" s="286"/>
      <c r="E645" s="286"/>
    </row>
    <row r="646" spans="2:26" s="4" customFormat="1" ht="42.75" customHeight="1" x14ac:dyDescent="0.2">
      <c r="B646" s="287" t="str">
        <f>("La informacion de  Cuentas por Cobrar según el Sistema Comercial al "&amp;[1]BALANZA!B3&amp;" "&amp;[1]BALANZA!C3&amp;" se detalla a continuación")</f>
        <v>La informacion de  Cuentas por Cobrar según el Sistema Comercial al 31 de Diciembre del 2025 - 2024 se detalla a continuación</v>
      </c>
      <c r="C646" s="287"/>
      <c r="D646" s="287"/>
      <c r="E646" s="287"/>
      <c r="J646" s="5"/>
      <c r="K646" s="5"/>
      <c r="N646" s="5"/>
      <c r="R646" s="254"/>
      <c r="S646" s="254"/>
      <c r="T646" s="254"/>
      <c r="U646" s="254"/>
      <c r="V646" s="254"/>
      <c r="W646" s="254"/>
      <c r="X646" s="254"/>
      <c r="Y646" s="254"/>
      <c r="Z646" s="5"/>
    </row>
    <row r="647" spans="2:26" x14ac:dyDescent="0.25">
      <c r="B647" s="189" t="str">
        <f>+B634</f>
        <v>PARTIDA</v>
      </c>
      <c r="C647" s="189">
        <f>+C634</f>
        <v>2025</v>
      </c>
      <c r="D647" s="189">
        <f>+D634</f>
        <v>2024</v>
      </c>
      <c r="E647" s="255"/>
    </row>
    <row r="648" spans="2:26" x14ac:dyDescent="0.25">
      <c r="B648" s="204"/>
      <c r="C648" s="34"/>
      <c r="D648" s="256"/>
    </row>
    <row r="649" spans="2:26" x14ac:dyDescent="0.25">
      <c r="B649" s="204" t="s">
        <v>340</v>
      </c>
      <c r="C649" s="34">
        <v>243262</v>
      </c>
      <c r="D649" s="166">
        <v>235712</v>
      </c>
    </row>
    <row r="650" spans="2:26" x14ac:dyDescent="0.25">
      <c r="B650" s="204" t="s">
        <v>341</v>
      </c>
      <c r="C650" s="34">
        <v>2000</v>
      </c>
      <c r="D650" s="166">
        <v>1210</v>
      </c>
    </row>
    <row r="651" spans="2:26" x14ac:dyDescent="0.25">
      <c r="B651" s="204" t="s">
        <v>342</v>
      </c>
      <c r="C651" s="34">
        <f>980788+836476</f>
        <v>1817264</v>
      </c>
      <c r="D651" s="166">
        <f>7130810+778425</f>
        <v>7909235</v>
      </c>
    </row>
    <row r="652" spans="2:26" x14ac:dyDescent="0.25">
      <c r="B652" s="204" t="s">
        <v>343</v>
      </c>
      <c r="C652" s="34">
        <v>590249</v>
      </c>
      <c r="D652" s="166">
        <v>869044</v>
      </c>
    </row>
    <row r="653" spans="2:26" x14ac:dyDescent="0.25">
      <c r="B653" s="204" t="s">
        <v>344</v>
      </c>
      <c r="C653" s="34">
        <v>635899</v>
      </c>
      <c r="D653" s="166">
        <v>920884</v>
      </c>
    </row>
    <row r="654" spans="2:26" x14ac:dyDescent="0.25">
      <c r="B654" s="257" t="s">
        <v>345</v>
      </c>
      <c r="C654" s="258">
        <f>SUM(C649:C653)</f>
        <v>3288674</v>
      </c>
      <c r="D654" s="258">
        <f>SUM(D649:D653)</f>
        <v>9936085</v>
      </c>
    </row>
    <row r="655" spans="2:26" x14ac:dyDescent="0.25">
      <c r="B655" s="204" t="s">
        <v>340</v>
      </c>
      <c r="C655" s="34">
        <v>24407875</v>
      </c>
      <c r="D655" s="166">
        <f>14368305</f>
        <v>14368305</v>
      </c>
    </row>
    <row r="656" spans="2:26" x14ac:dyDescent="0.25">
      <c r="B656" s="204" t="s">
        <v>341</v>
      </c>
      <c r="C656" s="34">
        <v>90874</v>
      </c>
      <c r="D656" s="166">
        <v>68295</v>
      </c>
    </row>
    <row r="657" spans="2:5" x14ac:dyDescent="0.25">
      <c r="B657" s="204" t="s">
        <v>346</v>
      </c>
      <c r="C657" s="34">
        <v>267076</v>
      </c>
      <c r="D657" s="166">
        <v>63646</v>
      </c>
    </row>
    <row r="658" spans="2:5" x14ac:dyDescent="0.25">
      <c r="B658" s="204" t="s">
        <v>347</v>
      </c>
      <c r="C658" s="34">
        <v>3804338</v>
      </c>
      <c r="D658" s="166">
        <v>3352009</v>
      </c>
    </row>
    <row r="659" spans="2:5" x14ac:dyDescent="0.25">
      <c r="B659" s="204" t="s">
        <v>343</v>
      </c>
      <c r="C659" s="34">
        <v>197155719.75</v>
      </c>
      <c r="D659" s="166">
        <v>133132858</v>
      </c>
    </row>
    <row r="660" spans="2:5" x14ac:dyDescent="0.25">
      <c r="B660" s="204" t="s">
        <v>344</v>
      </c>
      <c r="C660" s="34">
        <v>284970564.19</v>
      </c>
      <c r="D660" s="166">
        <v>292920491</v>
      </c>
    </row>
    <row r="661" spans="2:5" x14ac:dyDescent="0.25">
      <c r="B661" s="257" t="s">
        <v>345</v>
      </c>
      <c r="C661" s="258">
        <f>SUM(C655:C660)</f>
        <v>510696446.94</v>
      </c>
      <c r="D661" s="258">
        <f>SUM(D655:D660)</f>
        <v>443905604</v>
      </c>
    </row>
    <row r="662" spans="2:5" x14ac:dyDescent="0.25">
      <c r="B662" s="257" t="s">
        <v>348</v>
      </c>
      <c r="C662" s="258">
        <f>+C654+C661</f>
        <v>513985120.94</v>
      </c>
      <c r="D662" s="258">
        <f>+D654+D661</f>
        <v>453841689</v>
      </c>
    </row>
    <row r="663" spans="2:5" x14ac:dyDescent="0.25">
      <c r="B663" s="259"/>
      <c r="E663" s="255"/>
    </row>
    <row r="664" spans="2:5" x14ac:dyDescent="0.25">
      <c r="B664" s="259"/>
      <c r="C664" s="260"/>
      <c r="E664" s="261"/>
    </row>
    <row r="665" spans="2:5" x14ac:dyDescent="0.25">
      <c r="B665" s="259"/>
      <c r="E665" s="261"/>
    </row>
    <row r="666" spans="2:5" x14ac:dyDescent="0.25">
      <c r="B666" s="259"/>
      <c r="E666" s="255"/>
    </row>
    <row r="667" spans="2:5" x14ac:dyDescent="0.25">
      <c r="B667" s="259"/>
      <c r="E667" s="255"/>
    </row>
    <row r="668" spans="2:5" x14ac:dyDescent="0.25">
      <c r="B668" s="259"/>
      <c r="E668" s="261"/>
    </row>
    <row r="669" spans="2:5" x14ac:dyDescent="0.25">
      <c r="B669" s="259"/>
      <c r="E669" s="255"/>
    </row>
    <row r="670" spans="2:5" x14ac:dyDescent="0.25">
      <c r="B670" s="259"/>
      <c r="E670" s="255"/>
    </row>
    <row r="671" spans="2:5" x14ac:dyDescent="0.25">
      <c r="B671" s="259"/>
      <c r="E671" s="255"/>
    </row>
    <row r="672" spans="2:5" x14ac:dyDescent="0.25">
      <c r="B672" s="259"/>
      <c r="E672" s="255"/>
    </row>
    <row r="673" spans="2:5" x14ac:dyDescent="0.25">
      <c r="B673" s="259"/>
      <c r="E673" s="255"/>
    </row>
    <row r="674" spans="2:5" x14ac:dyDescent="0.25">
      <c r="B674" s="259"/>
      <c r="E674" s="255"/>
    </row>
    <row r="675" spans="2:5" x14ac:dyDescent="0.25">
      <c r="B675" s="259"/>
      <c r="E675" s="255"/>
    </row>
    <row r="676" spans="2:5" x14ac:dyDescent="0.25">
      <c r="B676" s="259"/>
      <c r="E676" s="255"/>
    </row>
    <row r="677" spans="2:5" x14ac:dyDescent="0.25">
      <c r="B677" s="259"/>
      <c r="E677" s="255"/>
    </row>
    <row r="678" spans="2:5" x14ac:dyDescent="0.25">
      <c r="B678" s="259"/>
      <c r="E678" s="255"/>
    </row>
    <row r="679" spans="2:5" x14ac:dyDescent="0.25">
      <c r="B679" s="259"/>
      <c r="E679" s="255"/>
    </row>
    <row r="680" spans="2:5" x14ac:dyDescent="0.25">
      <c r="B680" s="259"/>
      <c r="E680" s="255"/>
    </row>
    <row r="681" spans="2:5" x14ac:dyDescent="0.25">
      <c r="B681" s="259"/>
      <c r="E681" s="255"/>
    </row>
    <row r="682" spans="2:5" x14ac:dyDescent="0.25">
      <c r="B682" s="259"/>
      <c r="E682" s="255"/>
    </row>
    <row r="683" spans="2:5" x14ac:dyDescent="0.25">
      <c r="B683" s="259"/>
      <c r="E683" s="255"/>
    </row>
    <row r="684" spans="2:5" x14ac:dyDescent="0.25">
      <c r="B684" s="259"/>
      <c r="E684" s="255"/>
    </row>
    <row r="685" spans="2:5" x14ac:dyDescent="0.25">
      <c r="B685" s="259"/>
      <c r="E685" s="255"/>
    </row>
    <row r="686" spans="2:5" x14ac:dyDescent="0.25">
      <c r="B686" s="259"/>
      <c r="E686" s="255"/>
    </row>
    <row r="687" spans="2:5" x14ac:dyDescent="0.25">
      <c r="B687" s="259"/>
      <c r="E687" s="255"/>
    </row>
    <row r="688" spans="2:5" x14ac:dyDescent="0.25">
      <c r="B688" s="259"/>
      <c r="E688" s="255"/>
    </row>
    <row r="689" spans="2:5" x14ac:dyDescent="0.25">
      <c r="B689" s="259"/>
      <c r="E689" s="255"/>
    </row>
    <row r="690" spans="2:5" x14ac:dyDescent="0.25">
      <c r="B690" s="259"/>
      <c r="E690" s="255"/>
    </row>
    <row r="691" spans="2:5" x14ac:dyDescent="0.25">
      <c r="B691" s="259"/>
      <c r="E691" s="255"/>
    </row>
    <row r="692" spans="2:5" x14ac:dyDescent="0.25">
      <c r="B692" s="259"/>
      <c r="E692" s="255"/>
    </row>
    <row r="693" spans="2:5" x14ac:dyDescent="0.25">
      <c r="B693" s="259"/>
      <c r="E693" s="255"/>
    </row>
    <row r="694" spans="2:5" x14ac:dyDescent="0.25">
      <c r="B694" s="259"/>
      <c r="E694" s="255"/>
    </row>
    <row r="695" spans="2:5" x14ac:dyDescent="0.25">
      <c r="B695" s="259"/>
      <c r="E695" s="255"/>
    </row>
    <row r="696" spans="2:5" x14ac:dyDescent="0.25">
      <c r="B696" s="259"/>
      <c r="E696" s="255"/>
    </row>
    <row r="697" spans="2:5" x14ac:dyDescent="0.25">
      <c r="B697" s="259"/>
      <c r="E697" s="255"/>
    </row>
    <row r="698" spans="2:5" x14ac:dyDescent="0.25">
      <c r="B698" s="259"/>
      <c r="E698" s="255"/>
    </row>
    <row r="699" spans="2:5" x14ac:dyDescent="0.25">
      <c r="B699" s="259"/>
      <c r="E699" s="255"/>
    </row>
    <row r="700" spans="2:5" x14ac:dyDescent="0.25">
      <c r="B700" s="259"/>
      <c r="E700" s="255"/>
    </row>
    <row r="701" spans="2:5" x14ac:dyDescent="0.25">
      <c r="B701" s="259"/>
      <c r="E701" s="255"/>
    </row>
    <row r="702" spans="2:5" ht="15" customHeight="1" x14ac:dyDescent="0.25">
      <c r="B702" s="259"/>
      <c r="E702" s="255"/>
    </row>
    <row r="703" spans="2:5" x14ac:dyDescent="0.25">
      <c r="B703" s="259"/>
    </row>
    <row r="704" spans="2:5" x14ac:dyDescent="0.25">
      <c r="C704" s="2"/>
    </row>
    <row r="707" spans="2:7" x14ac:dyDescent="0.25">
      <c r="B707" s="259"/>
    </row>
    <row r="709" spans="2:7" x14ac:dyDescent="0.25">
      <c r="B709" s="259">
        <v>136059</v>
      </c>
      <c r="C709" s="1" t="s">
        <v>349</v>
      </c>
    </row>
    <row r="710" spans="2:7" x14ac:dyDescent="0.25">
      <c r="B710" s="259">
        <v>135946</v>
      </c>
      <c r="C710" s="1" t="s">
        <v>350</v>
      </c>
      <c r="G710" s="1">
        <v>705696</v>
      </c>
    </row>
    <row r="711" spans="2:7" x14ac:dyDescent="0.25">
      <c r="B711" s="259">
        <v>135979</v>
      </c>
      <c r="C711" s="1" t="s">
        <v>351</v>
      </c>
      <c r="G711" s="1">
        <v>599024</v>
      </c>
    </row>
    <row r="712" spans="2:7" x14ac:dyDescent="0.25">
      <c r="B712" s="259">
        <v>135955</v>
      </c>
      <c r="C712" s="1" t="s">
        <v>352</v>
      </c>
      <c r="G712" s="1">
        <v>339264</v>
      </c>
    </row>
    <row r="713" spans="2:7" x14ac:dyDescent="0.25">
      <c r="B713" s="259" t="s">
        <v>353</v>
      </c>
      <c r="C713" s="1" t="s">
        <v>354</v>
      </c>
      <c r="G713" s="1">
        <v>18350</v>
      </c>
    </row>
    <row r="714" spans="2:7" x14ac:dyDescent="0.25">
      <c r="B714" s="259">
        <v>136575</v>
      </c>
      <c r="C714" s="1" t="s">
        <v>355</v>
      </c>
      <c r="G714" s="1">
        <v>26051</v>
      </c>
    </row>
    <row r="715" spans="2:7" x14ac:dyDescent="0.25">
      <c r="B715" s="259">
        <v>136082</v>
      </c>
      <c r="C715" s="1" t="s">
        <v>356</v>
      </c>
      <c r="G715" s="1">
        <v>24600</v>
      </c>
    </row>
    <row r="716" spans="2:7" x14ac:dyDescent="0.25">
      <c r="B716" s="259">
        <v>135945</v>
      </c>
      <c r="C716" s="1" t="s">
        <v>357</v>
      </c>
      <c r="G716" s="1">
        <v>6250</v>
      </c>
    </row>
    <row r="717" spans="2:7" x14ac:dyDescent="0.25">
      <c r="B717" s="259">
        <v>135971</v>
      </c>
      <c r="C717" s="1" t="s">
        <v>358</v>
      </c>
      <c r="G717" s="1">
        <v>53616</v>
      </c>
    </row>
    <row r="718" spans="2:7" x14ac:dyDescent="0.25">
      <c r="B718" s="259">
        <v>137615</v>
      </c>
      <c r="C718" s="1" t="s">
        <v>359</v>
      </c>
      <c r="G718" s="1">
        <v>29900</v>
      </c>
    </row>
    <row r="719" spans="2:7" x14ac:dyDescent="0.25">
      <c r="B719" s="259">
        <v>135962</v>
      </c>
      <c r="C719" s="1" t="s">
        <v>360</v>
      </c>
      <c r="G719" s="1">
        <v>33200</v>
      </c>
    </row>
    <row r="720" spans="2:7" x14ac:dyDescent="0.25">
      <c r="B720" s="259">
        <v>136744</v>
      </c>
      <c r="C720" s="1" t="s">
        <v>361</v>
      </c>
      <c r="G720" s="1">
        <v>36189</v>
      </c>
    </row>
    <row r="721" spans="2:7" x14ac:dyDescent="0.25">
      <c r="B721" s="259">
        <v>136065</v>
      </c>
      <c r="C721" s="1" t="s">
        <v>362</v>
      </c>
      <c r="G721" s="1">
        <v>31000</v>
      </c>
    </row>
    <row r="722" spans="2:7" x14ac:dyDescent="0.25">
      <c r="B722" s="259">
        <v>135951</v>
      </c>
      <c r="C722" s="1" t="s">
        <v>363</v>
      </c>
      <c r="G722" s="1">
        <v>36491</v>
      </c>
    </row>
    <row r="723" spans="2:7" x14ac:dyDescent="0.25">
      <c r="B723" s="259">
        <v>136077</v>
      </c>
      <c r="C723" s="1" t="s">
        <v>364</v>
      </c>
      <c r="G723" s="1">
        <v>38832</v>
      </c>
    </row>
    <row r="724" spans="2:7" x14ac:dyDescent="0.25">
      <c r="B724" s="259">
        <v>136090</v>
      </c>
      <c r="C724" s="1" t="s">
        <v>365</v>
      </c>
      <c r="G724" s="1">
        <v>37600</v>
      </c>
    </row>
    <row r="725" spans="2:7" x14ac:dyDescent="0.25">
      <c r="B725" s="259">
        <v>135990</v>
      </c>
      <c r="C725" s="1" t="s">
        <v>366</v>
      </c>
      <c r="G725" s="1">
        <v>229332</v>
      </c>
    </row>
    <row r="726" spans="2:7" x14ac:dyDescent="0.25">
      <c r="B726" s="259">
        <v>1000226</v>
      </c>
      <c r="C726" s="1" t="s">
        <v>367</v>
      </c>
      <c r="G726" s="1">
        <v>223940</v>
      </c>
    </row>
    <row r="727" spans="2:7" x14ac:dyDescent="0.25">
      <c r="B727" s="259">
        <v>135993</v>
      </c>
      <c r="C727" s="1" t="s">
        <v>368</v>
      </c>
      <c r="G727" s="1">
        <v>218600</v>
      </c>
    </row>
    <row r="728" spans="2:7" x14ac:dyDescent="0.25">
      <c r="B728" s="259">
        <v>135954</v>
      </c>
      <c r="C728" s="1" t="s">
        <v>369</v>
      </c>
      <c r="G728" s="1">
        <v>207352</v>
      </c>
    </row>
    <row r="729" spans="2:7" x14ac:dyDescent="0.25">
      <c r="B729" s="259">
        <v>135981</v>
      </c>
      <c r="C729" s="1" t="s">
        <v>370</v>
      </c>
      <c r="G729" s="1">
        <v>197166</v>
      </c>
    </row>
    <row r="730" spans="2:7" x14ac:dyDescent="0.25">
      <c r="B730" s="259">
        <v>135953</v>
      </c>
      <c r="C730" s="1" t="s">
        <v>371</v>
      </c>
      <c r="G730" s="1">
        <v>171745</v>
      </c>
    </row>
    <row r="731" spans="2:7" x14ac:dyDescent="0.25">
      <c r="B731" s="259">
        <v>136092</v>
      </c>
      <c r="C731" s="1" t="s">
        <v>372</v>
      </c>
      <c r="G731" s="1">
        <v>166194</v>
      </c>
    </row>
    <row r="732" spans="2:7" x14ac:dyDescent="0.25">
      <c r="B732" s="259">
        <v>137613</v>
      </c>
      <c r="C732" s="1" t="s">
        <v>373</v>
      </c>
      <c r="G732" s="1">
        <v>130205</v>
      </c>
    </row>
    <row r="733" spans="2:7" x14ac:dyDescent="0.25">
      <c r="B733" s="259">
        <v>136083</v>
      </c>
      <c r="C733" s="1" t="s">
        <v>374</v>
      </c>
      <c r="G733" s="1">
        <v>121935</v>
      </c>
    </row>
    <row r="734" spans="2:7" x14ac:dyDescent="0.25">
      <c r="B734" s="259">
        <v>135709</v>
      </c>
      <c r="C734" s="1" t="s">
        <v>375</v>
      </c>
      <c r="G734" s="1">
        <v>104675</v>
      </c>
    </row>
    <row r="735" spans="2:7" x14ac:dyDescent="0.25">
      <c r="B735" s="259">
        <v>135961</v>
      </c>
      <c r="C735" s="1" t="s">
        <v>376</v>
      </c>
      <c r="G735" s="1">
        <v>104176</v>
      </c>
    </row>
    <row r="736" spans="2:7" x14ac:dyDescent="0.25">
      <c r="B736" s="259">
        <v>135957</v>
      </c>
      <c r="C736" s="1" t="s">
        <v>377</v>
      </c>
      <c r="G736" s="1">
        <v>101378</v>
      </c>
    </row>
    <row r="737" spans="2:7" x14ac:dyDescent="0.25">
      <c r="B737" s="259">
        <v>135710</v>
      </c>
      <c r="C737" s="1" t="s">
        <v>378</v>
      </c>
      <c r="G737" s="1">
        <v>82568</v>
      </c>
    </row>
    <row r="738" spans="2:7" x14ac:dyDescent="0.25">
      <c r="B738" s="259">
        <v>135986</v>
      </c>
      <c r="C738" s="1" t="s">
        <v>379</v>
      </c>
      <c r="G738" s="1">
        <v>82040</v>
      </c>
    </row>
    <row r="739" spans="2:7" x14ac:dyDescent="0.25">
      <c r="B739" s="259">
        <v>135958</v>
      </c>
      <c r="C739" s="1" t="s">
        <v>380</v>
      </c>
      <c r="G739" s="1">
        <v>71637</v>
      </c>
    </row>
    <row r="740" spans="2:7" x14ac:dyDescent="0.25">
      <c r="B740" s="259">
        <v>136731</v>
      </c>
      <c r="C740" s="1" t="s">
        <v>381</v>
      </c>
      <c r="G740" s="1">
        <v>70474</v>
      </c>
    </row>
    <row r="741" spans="2:7" x14ac:dyDescent="0.25">
      <c r="B741" s="259">
        <v>136080</v>
      </c>
      <c r="C741" s="1" t="s">
        <v>382</v>
      </c>
      <c r="G741" s="1">
        <v>61952</v>
      </c>
    </row>
    <row r="742" spans="2:7" x14ac:dyDescent="0.25">
      <c r="B742" s="259">
        <v>135982</v>
      </c>
      <c r="C742" s="1" t="s">
        <v>383</v>
      </c>
      <c r="G742" s="1">
        <v>61844</v>
      </c>
    </row>
    <row r="743" spans="2:7" x14ac:dyDescent="0.25">
      <c r="B743" s="259">
        <v>17</v>
      </c>
      <c r="C743" s="1" t="s">
        <v>384</v>
      </c>
      <c r="G743" s="1">
        <v>59930</v>
      </c>
    </row>
    <row r="744" spans="2:7" x14ac:dyDescent="0.25">
      <c r="B744" s="259">
        <v>135991</v>
      </c>
      <c r="C744" s="1" t="s">
        <v>385</v>
      </c>
      <c r="G744" s="1">
        <v>59227</v>
      </c>
    </row>
    <row r="745" spans="2:7" x14ac:dyDescent="0.25">
      <c r="B745" s="259">
        <v>136740</v>
      </c>
      <c r="C745" s="1" t="s">
        <v>386</v>
      </c>
      <c r="G745" s="1">
        <v>47597</v>
      </c>
    </row>
    <row r="746" spans="2:7" x14ac:dyDescent="0.25">
      <c r="B746" s="259">
        <v>135992</v>
      </c>
      <c r="C746" s="1" t="s">
        <v>387</v>
      </c>
      <c r="G746" s="1">
        <v>47517</v>
      </c>
    </row>
    <row r="747" spans="2:7" x14ac:dyDescent="0.25">
      <c r="B747" s="259">
        <v>135966</v>
      </c>
      <c r="C747" s="1" t="s">
        <v>388</v>
      </c>
      <c r="G747" s="1">
        <v>46137</v>
      </c>
    </row>
    <row r="748" spans="2:7" x14ac:dyDescent="0.25">
      <c r="B748" s="259">
        <v>136085</v>
      </c>
      <c r="C748" s="1" t="s">
        <v>389</v>
      </c>
      <c r="G748" s="1">
        <v>42950</v>
      </c>
    </row>
    <row r="749" spans="2:7" x14ac:dyDescent="0.25">
      <c r="B749" s="259">
        <v>136094</v>
      </c>
      <c r="C749" s="1" t="s">
        <v>390</v>
      </c>
      <c r="G749" s="1">
        <v>42836</v>
      </c>
    </row>
    <row r="750" spans="2:7" x14ac:dyDescent="0.25">
      <c r="B750" s="259">
        <v>135985</v>
      </c>
      <c r="C750" s="1" t="s">
        <v>391</v>
      </c>
      <c r="G750" s="1">
        <v>40966</v>
      </c>
    </row>
    <row r="751" spans="2:7" x14ac:dyDescent="0.25">
      <c r="B751" s="259">
        <v>136095</v>
      </c>
      <c r="C751" s="1" t="s">
        <v>392</v>
      </c>
      <c r="G751" s="1">
        <v>40394</v>
      </c>
    </row>
    <row r="752" spans="2:7" x14ac:dyDescent="0.25">
      <c r="B752" s="259">
        <v>136081</v>
      </c>
      <c r="C752" s="1" t="s">
        <v>393</v>
      </c>
      <c r="G752" s="1">
        <v>40350</v>
      </c>
    </row>
    <row r="753" spans="2:7" x14ac:dyDescent="0.25">
      <c r="B753" s="259">
        <v>135963</v>
      </c>
      <c r="C753" s="1" t="s">
        <v>394</v>
      </c>
      <c r="G753" s="1">
        <v>40130</v>
      </c>
    </row>
    <row r="754" spans="2:7" x14ac:dyDescent="0.25">
      <c r="B754" s="259">
        <v>135964</v>
      </c>
      <c r="C754" s="1" t="s">
        <v>395</v>
      </c>
      <c r="G754" s="1">
        <v>36739</v>
      </c>
    </row>
    <row r="755" spans="2:7" x14ac:dyDescent="0.25">
      <c r="B755" s="259">
        <v>135965</v>
      </c>
      <c r="C755" s="1" t="s">
        <v>396</v>
      </c>
      <c r="G755" s="1">
        <v>36739</v>
      </c>
    </row>
    <row r="756" spans="2:7" x14ac:dyDescent="0.25">
      <c r="B756" s="259">
        <v>138150</v>
      </c>
      <c r="C756" s="1" t="s">
        <v>397</v>
      </c>
      <c r="G756" s="1">
        <v>36717</v>
      </c>
    </row>
    <row r="757" spans="2:7" x14ac:dyDescent="0.25">
      <c r="B757" s="259">
        <v>135959</v>
      </c>
      <c r="C757" s="1" t="s">
        <v>398</v>
      </c>
      <c r="G757" s="1">
        <v>36588</v>
      </c>
    </row>
    <row r="758" spans="2:7" x14ac:dyDescent="0.25">
      <c r="B758" s="259">
        <v>135950</v>
      </c>
      <c r="C758" s="1" t="s">
        <v>399</v>
      </c>
      <c r="G758" s="1">
        <v>36060</v>
      </c>
    </row>
    <row r="759" spans="2:7" x14ac:dyDescent="0.25">
      <c r="B759" s="259">
        <v>135960</v>
      </c>
      <c r="C759" s="1" t="s">
        <v>400</v>
      </c>
      <c r="G759" s="1">
        <v>35706</v>
      </c>
    </row>
    <row r="760" spans="2:7" x14ac:dyDescent="0.25">
      <c r="B760" s="259">
        <v>136084</v>
      </c>
      <c r="C760" s="1" t="s">
        <v>401</v>
      </c>
      <c r="G760" s="1">
        <v>34715</v>
      </c>
    </row>
    <row r="761" spans="2:7" x14ac:dyDescent="0.25">
      <c r="B761" s="259">
        <v>136086</v>
      </c>
      <c r="C761" s="1" t="s">
        <v>402</v>
      </c>
      <c r="G761" s="1">
        <v>33596</v>
      </c>
    </row>
    <row r="762" spans="2:7" x14ac:dyDescent="0.25">
      <c r="B762" s="259">
        <v>135972</v>
      </c>
      <c r="C762" s="1" t="s">
        <v>403</v>
      </c>
      <c r="G762" s="1">
        <v>31000</v>
      </c>
    </row>
    <row r="763" spans="2:7" x14ac:dyDescent="0.25">
      <c r="B763" s="259">
        <v>136097</v>
      </c>
      <c r="C763" s="1" t="s">
        <v>404</v>
      </c>
      <c r="G763" s="1">
        <v>30450</v>
      </c>
    </row>
    <row r="764" spans="2:7" x14ac:dyDescent="0.25">
      <c r="B764" s="259">
        <v>135756</v>
      </c>
      <c r="C764" s="1" t="s">
        <v>405</v>
      </c>
      <c r="G764" s="1">
        <v>28406</v>
      </c>
    </row>
    <row r="765" spans="2:7" x14ac:dyDescent="0.25">
      <c r="B765" s="259">
        <v>135967</v>
      </c>
      <c r="C765" s="1" t="s">
        <v>406</v>
      </c>
      <c r="G765" s="1">
        <v>27700</v>
      </c>
    </row>
    <row r="766" spans="2:7" x14ac:dyDescent="0.25">
      <c r="B766" s="259">
        <v>135968</v>
      </c>
      <c r="C766" s="1" t="s">
        <v>407</v>
      </c>
      <c r="G766" s="1">
        <v>27700</v>
      </c>
    </row>
    <row r="767" spans="2:7" x14ac:dyDescent="0.25">
      <c r="B767" s="259">
        <v>135969</v>
      </c>
      <c r="C767" s="1" t="s">
        <v>408</v>
      </c>
      <c r="G767" s="1">
        <v>27700</v>
      </c>
    </row>
    <row r="768" spans="2:7" x14ac:dyDescent="0.25">
      <c r="B768" s="259">
        <v>135994</v>
      </c>
      <c r="C768" s="1" t="s">
        <v>409</v>
      </c>
      <c r="G768" s="1">
        <v>27700</v>
      </c>
    </row>
    <row r="769" spans="2:7" x14ac:dyDescent="0.25">
      <c r="B769" s="259">
        <v>136087</v>
      </c>
      <c r="C769" s="1" t="s">
        <v>410</v>
      </c>
      <c r="G769" s="1">
        <v>27700</v>
      </c>
    </row>
    <row r="770" spans="2:7" x14ac:dyDescent="0.25">
      <c r="B770" s="259">
        <v>136724</v>
      </c>
      <c r="C770" s="1" t="s">
        <v>411</v>
      </c>
      <c r="G770" s="1">
        <v>27612</v>
      </c>
    </row>
    <row r="771" spans="2:7" x14ac:dyDescent="0.25">
      <c r="B771" s="259">
        <v>136079</v>
      </c>
      <c r="C771" s="1" t="s">
        <v>412</v>
      </c>
      <c r="G771" s="1">
        <v>27425</v>
      </c>
    </row>
    <row r="772" spans="2:7" x14ac:dyDescent="0.25">
      <c r="B772" s="259">
        <v>135984</v>
      </c>
      <c r="C772" s="1" t="s">
        <v>413</v>
      </c>
      <c r="G772" s="1">
        <v>24950</v>
      </c>
    </row>
    <row r="773" spans="2:7" x14ac:dyDescent="0.25">
      <c r="B773" s="259">
        <v>135956</v>
      </c>
      <c r="C773" s="1" t="s">
        <v>414</v>
      </c>
      <c r="G773" s="1">
        <v>19538</v>
      </c>
    </row>
    <row r="774" spans="2:7" x14ac:dyDescent="0.25">
      <c r="B774" s="259">
        <v>137195</v>
      </c>
      <c r="C774" s="1" t="s">
        <v>415</v>
      </c>
      <c r="G774" s="1">
        <v>11635</v>
      </c>
    </row>
    <row r="775" spans="2:7" x14ac:dyDescent="0.25">
      <c r="B775" s="259">
        <v>135987</v>
      </c>
      <c r="C775" s="1" t="s">
        <v>416</v>
      </c>
      <c r="G775" s="1">
        <v>4805</v>
      </c>
    </row>
    <row r="776" spans="2:7" x14ac:dyDescent="0.25">
      <c r="B776" s="259">
        <v>136726</v>
      </c>
      <c r="C776" s="1" t="s">
        <v>417</v>
      </c>
      <c r="G776" s="1">
        <v>3250</v>
      </c>
    </row>
    <row r="777" spans="2:7" x14ac:dyDescent="0.25">
      <c r="B777" s="259">
        <v>135980</v>
      </c>
      <c r="C777" s="1" t="s">
        <v>418</v>
      </c>
      <c r="G777" s="1">
        <v>2620</v>
      </c>
    </row>
    <row r="778" spans="2:7" x14ac:dyDescent="0.25">
      <c r="B778" s="259">
        <v>136091</v>
      </c>
      <c r="C778" s="1" t="s">
        <v>419</v>
      </c>
      <c r="G778" s="1">
        <v>2400</v>
      </c>
    </row>
    <row r="779" spans="2:7" x14ac:dyDescent="0.25">
      <c r="B779" s="259">
        <v>136089</v>
      </c>
      <c r="C779" s="1" t="s">
        <v>420</v>
      </c>
      <c r="G779" s="1">
        <v>1834</v>
      </c>
    </row>
    <row r="780" spans="2:7" x14ac:dyDescent="0.25">
      <c r="B780" s="259">
        <v>136093</v>
      </c>
      <c r="C780" s="1" t="s">
        <v>421</v>
      </c>
      <c r="G780" s="1">
        <v>1210</v>
      </c>
    </row>
    <row r="781" spans="2:7" x14ac:dyDescent="0.25">
      <c r="B781" s="259">
        <v>135989</v>
      </c>
      <c r="C781" s="1" t="s">
        <v>422</v>
      </c>
      <c r="G781" s="1">
        <v>1100</v>
      </c>
    </row>
    <row r="782" spans="2:7" x14ac:dyDescent="0.25">
      <c r="G782" s="1">
        <v>550</v>
      </c>
    </row>
  </sheetData>
  <mergeCells count="143">
    <mergeCell ref="B46:E46"/>
    <mergeCell ref="B47:E47"/>
    <mergeCell ref="B48:E48"/>
    <mergeCell ref="B51:E51"/>
    <mergeCell ref="B52:E52"/>
    <mergeCell ref="B54:E54"/>
    <mergeCell ref="A4:E4"/>
    <mergeCell ref="B6:E6"/>
    <mergeCell ref="B10:E10"/>
    <mergeCell ref="B12:E12"/>
    <mergeCell ref="B14:E14"/>
    <mergeCell ref="B45:E45"/>
    <mergeCell ref="B66:E66"/>
    <mergeCell ref="B67:E67"/>
    <mergeCell ref="B68:E68"/>
    <mergeCell ref="B69:E69"/>
    <mergeCell ref="B70:E70"/>
    <mergeCell ref="B71:E71"/>
    <mergeCell ref="B59:E59"/>
    <mergeCell ref="B60:E60"/>
    <mergeCell ref="B61:E61"/>
    <mergeCell ref="B62:E62"/>
    <mergeCell ref="B63:E63"/>
    <mergeCell ref="B64:E64"/>
    <mergeCell ref="B81:E81"/>
    <mergeCell ref="B82:E82"/>
    <mergeCell ref="B83:E83"/>
    <mergeCell ref="B84:E84"/>
    <mergeCell ref="B85:E85"/>
    <mergeCell ref="B86:E86"/>
    <mergeCell ref="B72:E72"/>
    <mergeCell ref="B73:E73"/>
    <mergeCell ref="B74:E74"/>
    <mergeCell ref="B75:E75"/>
    <mergeCell ref="B77:E77"/>
    <mergeCell ref="B78:E78"/>
    <mergeCell ref="B93:E93"/>
    <mergeCell ref="B94:E94"/>
    <mergeCell ref="B95:E95"/>
    <mergeCell ref="B96:E96"/>
    <mergeCell ref="B97:E97"/>
    <mergeCell ref="B103:E103"/>
    <mergeCell ref="B87:E87"/>
    <mergeCell ref="B88:E88"/>
    <mergeCell ref="B89:E89"/>
    <mergeCell ref="B90:E90"/>
    <mergeCell ref="B91:E91"/>
    <mergeCell ref="B92:E92"/>
    <mergeCell ref="B111:E111"/>
    <mergeCell ref="B112:E112"/>
    <mergeCell ref="B113:E113"/>
    <mergeCell ref="B114:E114"/>
    <mergeCell ref="B115:E115"/>
    <mergeCell ref="B116:E116"/>
    <mergeCell ref="B104:E104"/>
    <mergeCell ref="B105:E105"/>
    <mergeCell ref="B106:E106"/>
    <mergeCell ref="B107:E107"/>
    <mergeCell ref="B108:E108"/>
    <mergeCell ref="B109:E109"/>
    <mergeCell ref="B149:E149"/>
    <mergeCell ref="B150:E150"/>
    <mergeCell ref="B156:C156"/>
    <mergeCell ref="B158:E158"/>
    <mergeCell ref="B160:E160"/>
    <mergeCell ref="B161:E161"/>
    <mergeCell ref="B129:C129"/>
    <mergeCell ref="B136:E136"/>
    <mergeCell ref="B137:E137"/>
    <mergeCell ref="B138:E138"/>
    <mergeCell ref="B145:C145"/>
    <mergeCell ref="B148:E148"/>
    <mergeCell ref="B202:C202"/>
    <mergeCell ref="B207:E207"/>
    <mergeCell ref="B208:E208"/>
    <mergeCell ref="B209:E209"/>
    <mergeCell ref="B228:C228"/>
    <mergeCell ref="B245:E245"/>
    <mergeCell ref="B162:E162"/>
    <mergeCell ref="B163:E163"/>
    <mergeCell ref="B170:C170"/>
    <mergeCell ref="B185:E185"/>
    <mergeCell ref="B191:E191"/>
    <mergeCell ref="B192:E192"/>
    <mergeCell ref="B376:C376"/>
    <mergeCell ref="B378:E378"/>
    <mergeCell ref="B385:E385"/>
    <mergeCell ref="B386:E386"/>
    <mergeCell ref="B387:E387"/>
    <mergeCell ref="B388:E388"/>
    <mergeCell ref="B246:E246"/>
    <mergeCell ref="B247:E247"/>
    <mergeCell ref="B248:E248"/>
    <mergeCell ref="B327:C327"/>
    <mergeCell ref="B368:E368"/>
    <mergeCell ref="B369:E369"/>
    <mergeCell ref="B423:E423"/>
    <mergeCell ref="B424:E424"/>
    <mergeCell ref="B431:C431"/>
    <mergeCell ref="B434:E434"/>
    <mergeCell ref="B435:E435"/>
    <mergeCell ref="B448:C448"/>
    <mergeCell ref="B396:C396"/>
    <mergeCell ref="B397:E397"/>
    <mergeCell ref="B400:E400"/>
    <mergeCell ref="B401:E401"/>
    <mergeCell ref="B407:C407"/>
    <mergeCell ref="B422:E422"/>
    <mergeCell ref="C476:D476"/>
    <mergeCell ref="B482:C482"/>
    <mergeCell ref="B487:E487"/>
    <mergeCell ref="B488:E488"/>
    <mergeCell ref="B489:E489"/>
    <mergeCell ref="C491:D491"/>
    <mergeCell ref="B454:E454"/>
    <mergeCell ref="B455:E455"/>
    <mergeCell ref="B464:C464"/>
    <mergeCell ref="B465:E465"/>
    <mergeCell ref="B473:E473"/>
    <mergeCell ref="B474:E474"/>
    <mergeCell ref="B547:C547"/>
    <mergeCell ref="B555:E555"/>
    <mergeCell ref="B562:C562"/>
    <mergeCell ref="B567:E567"/>
    <mergeCell ref="B579:C579"/>
    <mergeCell ref="B584:E584"/>
    <mergeCell ref="B499:C499"/>
    <mergeCell ref="B501:E501"/>
    <mergeCell ref="B502:E502"/>
    <mergeCell ref="B528:E528"/>
    <mergeCell ref="B532:E532"/>
    <mergeCell ref="B533:E533"/>
    <mergeCell ref="B632:E632"/>
    <mergeCell ref="B633:E633"/>
    <mergeCell ref="B639:C639"/>
    <mergeCell ref="B645:E645"/>
    <mergeCell ref="B646:E646"/>
    <mergeCell ref="B592:C592"/>
    <mergeCell ref="B600:E600"/>
    <mergeCell ref="B614:C614"/>
    <mergeCell ref="B620:E620"/>
    <mergeCell ref="B627:C627"/>
    <mergeCell ref="B631:E631"/>
  </mergeCells>
  <conditionalFormatting sqref="D614:D616 D579 D547 D499 D464 D396 D376:D377 D327 D228:D229 D482 D170:D183 D156 D448 D145:D146 D562:D564 D431:D432 D379:D383 D407:D420 D129:D134">
    <cfRule type="expression" priority="2" stopIfTrue="1">
      <formula>"$E$165&gt;=1,¨Aumento¨"</formula>
    </cfRule>
  </conditionalFormatting>
  <conditionalFormatting sqref="D592">
    <cfRule type="expression" priority="1" stopIfTrue="1">
      <formula>"$E$165&gt;=1,¨Aumento¨"</formula>
    </cfRule>
  </conditionalFormatting>
  <pageMargins left="0.7" right="0.7" top="0.75" bottom="0.75" header="0.3" footer="0.3"/>
  <drawing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D50"/>
  <sheetViews>
    <sheetView workbookViewId="0">
      <selection activeCell="J13" sqref="J13"/>
    </sheetView>
  </sheetViews>
  <sheetFormatPr baseColWidth="10" defaultColWidth="11.42578125" defaultRowHeight="15" customHeight="1" x14ac:dyDescent="0.25"/>
  <cols>
    <col min="1" max="1" width="11.42578125" style="262"/>
    <col min="2" max="2" width="18.42578125" style="262" customWidth="1"/>
    <col min="3" max="3" width="40.85546875" style="262" customWidth="1"/>
    <col min="4" max="4" width="11.7109375" style="262" bestFit="1" customWidth="1"/>
    <col min="5" max="16384" width="11.42578125" style="262"/>
  </cols>
  <sheetData>
    <row r="3" spans="2:4" ht="15" customHeight="1" x14ac:dyDescent="0.25">
      <c r="B3" s="306" t="s">
        <v>423</v>
      </c>
      <c r="C3" s="306"/>
      <c r="D3" s="306"/>
    </row>
    <row r="5" spans="2:4" ht="15" customHeight="1" x14ac:dyDescent="0.25">
      <c r="B5" s="263" t="s">
        <v>424</v>
      </c>
      <c r="C5" s="263" t="s">
        <v>5</v>
      </c>
      <c r="D5" s="263" t="s">
        <v>425</v>
      </c>
    </row>
    <row r="6" spans="2:4" ht="15.75" customHeight="1" thickBot="1" x14ac:dyDescent="0.3"/>
    <row r="7" spans="2:4" ht="15.75" customHeight="1" thickBot="1" x14ac:dyDescent="0.3">
      <c r="B7" s="264" t="s">
        <v>426</v>
      </c>
      <c r="C7" s="265" t="s">
        <v>427</v>
      </c>
      <c r="D7" s="266">
        <v>9767.11</v>
      </c>
    </row>
    <row r="8" spans="2:4" ht="15.75" customHeight="1" thickBot="1" x14ac:dyDescent="0.3">
      <c r="B8" s="267" t="s">
        <v>428</v>
      </c>
      <c r="C8" s="268" t="s">
        <v>429</v>
      </c>
      <c r="D8" s="269">
        <v>884516.35</v>
      </c>
    </row>
    <row r="9" spans="2:4" ht="15.75" customHeight="1" thickBot="1" x14ac:dyDescent="0.3">
      <c r="B9" s="267" t="s">
        <v>430</v>
      </c>
      <c r="C9" s="268" t="s">
        <v>431</v>
      </c>
      <c r="D9" s="269">
        <v>39200</v>
      </c>
    </row>
    <row r="10" spans="2:4" ht="15.75" customHeight="1" thickBot="1" x14ac:dyDescent="0.3">
      <c r="B10" s="267" t="s">
        <v>432</v>
      </c>
      <c r="C10" s="268" t="s">
        <v>433</v>
      </c>
      <c r="D10" s="269">
        <v>9724</v>
      </c>
    </row>
    <row r="11" spans="2:4" ht="15.75" customHeight="1" thickBot="1" x14ac:dyDescent="0.3">
      <c r="B11" s="267" t="s">
        <v>434</v>
      </c>
      <c r="C11" s="268" t="s">
        <v>435</v>
      </c>
      <c r="D11" s="269">
        <v>175112</v>
      </c>
    </row>
    <row r="12" spans="2:4" ht="15.75" customHeight="1" thickBot="1" x14ac:dyDescent="0.3">
      <c r="B12" s="267" t="s">
        <v>436</v>
      </c>
      <c r="C12" s="268" t="s">
        <v>437</v>
      </c>
      <c r="D12" s="269">
        <v>1000.47</v>
      </c>
    </row>
    <row r="13" spans="2:4" ht="15.75" customHeight="1" thickBot="1" x14ac:dyDescent="0.3">
      <c r="B13" s="267" t="s">
        <v>438</v>
      </c>
      <c r="C13" s="268" t="s">
        <v>439</v>
      </c>
      <c r="D13" s="269">
        <v>191252.65</v>
      </c>
    </row>
    <row r="15" spans="2:4" ht="15" customHeight="1" x14ac:dyDescent="0.25">
      <c r="C15" s="270" t="s">
        <v>440</v>
      </c>
      <c r="D15" s="271">
        <v>1310572.58</v>
      </c>
    </row>
    <row r="18" spans="2:4" ht="15" customHeight="1" x14ac:dyDescent="0.25">
      <c r="C18" s="270" t="s">
        <v>441</v>
      </c>
    </row>
    <row r="19" spans="2:4" ht="15.75" customHeight="1" thickBot="1" x14ac:dyDescent="0.3"/>
    <row r="20" spans="2:4" ht="15.75" customHeight="1" thickBot="1" x14ac:dyDescent="0.3">
      <c r="B20" s="264" t="s">
        <v>442</v>
      </c>
      <c r="C20" s="265" t="s">
        <v>443</v>
      </c>
      <c r="D20" s="266">
        <v>800000</v>
      </c>
    </row>
    <row r="21" spans="2:4" ht="15.75" customHeight="1" thickBot="1" x14ac:dyDescent="0.3">
      <c r="B21" s="267" t="s">
        <v>444</v>
      </c>
      <c r="C21" s="268" t="s">
        <v>445</v>
      </c>
      <c r="D21" s="269">
        <v>6840992.5099999998</v>
      </c>
    </row>
    <row r="24" spans="2:4" ht="15" customHeight="1" x14ac:dyDescent="0.25">
      <c r="C24" s="270" t="s">
        <v>446</v>
      </c>
      <c r="D24" s="271">
        <v>7640992.5099999998</v>
      </c>
    </row>
    <row r="27" spans="2:4" ht="15" customHeight="1" x14ac:dyDescent="0.25">
      <c r="C27" s="270" t="s">
        <v>447</v>
      </c>
      <c r="D27" s="271">
        <v>8951565.0899999999</v>
      </c>
    </row>
    <row r="28" spans="2:4" ht="15" customHeight="1" x14ac:dyDescent="0.25">
      <c r="B28" s="272"/>
    </row>
    <row r="29" spans="2:4" ht="15" customHeight="1" x14ac:dyDescent="0.25">
      <c r="B29" s="272"/>
    </row>
    <row r="30" spans="2:4" ht="15" customHeight="1" x14ac:dyDescent="0.25">
      <c r="B30" s="272"/>
    </row>
    <row r="31" spans="2:4" ht="15" customHeight="1" x14ac:dyDescent="0.25">
      <c r="B31" s="272"/>
    </row>
    <row r="32" spans="2:4" ht="15" customHeight="1" x14ac:dyDescent="0.25">
      <c r="B32" s="272"/>
    </row>
    <row r="33" spans="2:2" ht="15" customHeight="1" x14ac:dyDescent="0.25">
      <c r="B33" s="272"/>
    </row>
    <row r="34" spans="2:2" ht="15" customHeight="1" x14ac:dyDescent="0.25">
      <c r="B34" s="272"/>
    </row>
    <row r="35" spans="2:2" ht="15" customHeight="1" x14ac:dyDescent="0.25">
      <c r="B35" s="272"/>
    </row>
    <row r="36" spans="2:2" ht="15" customHeight="1" x14ac:dyDescent="0.25">
      <c r="B36" s="272"/>
    </row>
    <row r="37" spans="2:2" ht="15" customHeight="1" x14ac:dyDescent="0.25">
      <c r="B37" s="272"/>
    </row>
    <row r="38" spans="2:2" ht="15" customHeight="1" x14ac:dyDescent="0.25">
      <c r="B38" s="272"/>
    </row>
    <row r="39" spans="2:2" ht="15" customHeight="1" x14ac:dyDescent="0.25">
      <c r="B39" s="272"/>
    </row>
    <row r="40" spans="2:2" ht="15" customHeight="1" x14ac:dyDescent="0.25">
      <c r="B40" s="272"/>
    </row>
    <row r="41" spans="2:2" ht="15" customHeight="1" x14ac:dyDescent="0.25">
      <c r="B41" s="272"/>
    </row>
    <row r="42" spans="2:2" ht="15" customHeight="1" x14ac:dyDescent="0.25">
      <c r="B42" s="272"/>
    </row>
    <row r="43" spans="2:2" ht="15" customHeight="1" x14ac:dyDescent="0.25">
      <c r="B43" s="272"/>
    </row>
    <row r="44" spans="2:2" ht="15" customHeight="1" x14ac:dyDescent="0.25">
      <c r="B44" s="272"/>
    </row>
    <row r="45" spans="2:2" ht="15" customHeight="1" x14ac:dyDescent="0.25">
      <c r="B45" s="272"/>
    </row>
    <row r="46" spans="2:2" ht="15" customHeight="1" x14ac:dyDescent="0.25">
      <c r="B46" s="272"/>
    </row>
    <row r="47" spans="2:2" ht="15" customHeight="1" x14ac:dyDescent="0.25">
      <c r="B47" s="272"/>
    </row>
    <row r="48" spans="2:2" ht="15" customHeight="1" x14ac:dyDescent="0.25">
      <c r="B48" s="272"/>
    </row>
    <row r="49" spans="2:2" ht="15" customHeight="1" x14ac:dyDescent="0.25">
      <c r="B49" s="272"/>
    </row>
    <row r="50" spans="2:2" ht="15" customHeight="1" x14ac:dyDescent="0.25">
      <c r="B50" s="272"/>
    </row>
  </sheetData>
  <mergeCells count="1">
    <mergeCell ref="B3:D3"/>
  </mergeCells>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Inventario de Articulos</vt:lpstr>
      <vt:lpstr>Nota Explicativa </vt:lpstr>
      <vt:lpstr>Balance Proveedores </vt:lpstr>
      <vt:lpstr>'Nota Explicativa '!_Toc208202813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MORILLO</dc:creator>
  <cp:lastModifiedBy>PAULA MORILLO</cp:lastModifiedBy>
  <dcterms:created xsi:type="dcterms:W3CDTF">2026-01-14T13:30:24Z</dcterms:created>
  <dcterms:modified xsi:type="dcterms:W3CDTF">2026-01-14T14:49:25Z</dcterms:modified>
</cp:coreProperties>
</file>