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Notas Explicativas " sheetId="1" r:id="rId1"/>
    <sheet name="Invetario " sheetId="4" r:id="rId2"/>
    <sheet name="Balance Proveedor" sheetId="5" r:id="rId3"/>
  </sheets>
  <externalReferences>
    <externalReference r:id="rId4"/>
  </externalReferences>
  <definedNames>
    <definedName name="_Toc208202813" localSheetId="0">'Notas Explicativas '!$B$111</definedName>
  </definedNames>
  <calcPr calcId="145621"/>
</workbook>
</file>

<file path=xl/calcChain.xml><?xml version="1.0" encoding="utf-8"?>
<calcChain xmlns="http://schemas.openxmlformats.org/spreadsheetml/2006/main">
  <c r="F33" i="5" l="1"/>
  <c r="F27" i="5"/>
  <c r="F37" i="5" s="1"/>
  <c r="D649" i="1" l="1"/>
  <c r="C649" i="1"/>
  <c r="D642" i="1"/>
  <c r="D650" i="1" s="1"/>
  <c r="C642" i="1"/>
  <c r="C650" i="1" s="1"/>
  <c r="C624" i="1" s="1"/>
  <c r="E624" i="1" s="1"/>
  <c r="C639" i="1"/>
  <c r="B634" i="1"/>
  <c r="D625" i="1"/>
  <c r="T626" i="1" s="1"/>
  <c r="E623" i="1"/>
  <c r="E625" i="1" s="1"/>
  <c r="E627" i="1" s="1"/>
  <c r="D627" i="1" s="1"/>
  <c r="C623" i="1"/>
  <c r="C625" i="1" s="1"/>
  <c r="B622" i="1"/>
  <c r="B635" i="1" s="1"/>
  <c r="B619" i="1"/>
  <c r="D612" i="1"/>
  <c r="D613" i="1" s="1"/>
  <c r="C612" i="1"/>
  <c r="C611" i="1"/>
  <c r="E611" i="1" s="1"/>
  <c r="B610" i="1"/>
  <c r="B608" i="1"/>
  <c r="D600" i="1"/>
  <c r="C599" i="1"/>
  <c r="E599" i="1" s="1"/>
  <c r="C598" i="1"/>
  <c r="E598" i="1" s="1"/>
  <c r="C597" i="1"/>
  <c r="E597" i="1" s="1"/>
  <c r="G596" i="1"/>
  <c r="E596" i="1"/>
  <c r="C596" i="1"/>
  <c r="C595" i="1"/>
  <c r="E595" i="1" s="1"/>
  <c r="C594" i="1"/>
  <c r="E594" i="1" s="1"/>
  <c r="C593" i="1"/>
  <c r="E593" i="1" s="1"/>
  <c r="C592" i="1"/>
  <c r="E592" i="1" s="1"/>
  <c r="C591" i="1"/>
  <c r="E591" i="1" s="1"/>
  <c r="D590" i="1"/>
  <c r="D610" i="1" s="1"/>
  <c r="D622" i="1" s="1"/>
  <c r="D635" i="1" s="1"/>
  <c r="C590" i="1"/>
  <c r="C445" i="1" s="1"/>
  <c r="B588" i="1"/>
  <c r="D579" i="1"/>
  <c r="D578" i="1"/>
  <c r="E577" i="1"/>
  <c r="C576" i="1"/>
  <c r="E576" i="1" s="1"/>
  <c r="C575" i="1"/>
  <c r="B572" i="1"/>
  <c r="D564" i="1"/>
  <c r="D565" i="1" s="1"/>
  <c r="C564" i="1"/>
  <c r="E564" i="1" s="1"/>
  <c r="AA563" i="1"/>
  <c r="C563" i="1"/>
  <c r="E563" i="1" s="1"/>
  <c r="AA562" i="1"/>
  <c r="C562" i="1"/>
  <c r="E562" i="1" s="1"/>
  <c r="AA561" i="1"/>
  <c r="E561" i="1"/>
  <c r="C561" i="1"/>
  <c r="AA560" i="1"/>
  <c r="E560" i="1"/>
  <c r="C560" i="1"/>
  <c r="AA559" i="1"/>
  <c r="C559" i="1"/>
  <c r="E559" i="1" s="1"/>
  <c r="AA558" i="1"/>
  <c r="C558" i="1"/>
  <c r="C565" i="1" s="1"/>
  <c r="C566" i="1" s="1"/>
  <c r="D557" i="1"/>
  <c r="D574" i="1" s="1"/>
  <c r="C557" i="1"/>
  <c r="C574" i="1" s="1"/>
  <c r="B555" i="1"/>
  <c r="D546" i="1"/>
  <c r="D548" i="1" s="1"/>
  <c r="C546" i="1"/>
  <c r="C548" i="1" s="1"/>
  <c r="B543" i="1"/>
  <c r="E532" i="1"/>
  <c r="C532" i="1"/>
  <c r="C531" i="1"/>
  <c r="E531" i="1" s="1"/>
  <c r="C530" i="1"/>
  <c r="E530" i="1" s="1"/>
  <c r="C529" i="1"/>
  <c r="E529" i="1" s="1"/>
  <c r="E528" i="1"/>
  <c r="C528" i="1"/>
  <c r="C527" i="1"/>
  <c r="E527" i="1" s="1"/>
  <c r="D526" i="1"/>
  <c r="D533" i="1" s="1"/>
  <c r="C526" i="1"/>
  <c r="E526" i="1" s="1"/>
  <c r="C525" i="1"/>
  <c r="E525" i="1" s="1"/>
  <c r="C524" i="1"/>
  <c r="E524" i="1" s="1"/>
  <c r="J523" i="1"/>
  <c r="C523" i="1"/>
  <c r="L522" i="1"/>
  <c r="K522" i="1"/>
  <c r="D522" i="1"/>
  <c r="C522" i="1"/>
  <c r="B522" i="1"/>
  <c r="L521" i="1"/>
  <c r="L524" i="1" s="1"/>
  <c r="L520" i="1"/>
  <c r="K520" i="1"/>
  <c r="B520" i="1"/>
  <c r="K519" i="1"/>
  <c r="K518" i="1"/>
  <c r="E510" i="1"/>
  <c r="D510" i="1"/>
  <c r="C510"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D501" i="1"/>
  <c r="C501" i="1"/>
  <c r="E500" i="1"/>
  <c r="D500" i="1"/>
  <c r="C500" i="1"/>
  <c r="E499" i="1"/>
  <c r="E511" i="1" s="1"/>
  <c r="D499" i="1"/>
  <c r="C499" i="1"/>
  <c r="T493" i="1"/>
  <c r="S493" i="1"/>
  <c r="V493" i="1" s="1"/>
  <c r="S492" i="1"/>
  <c r="W492" i="1" s="1"/>
  <c r="T491" i="1"/>
  <c r="S491" i="1"/>
  <c r="W491" i="1" s="1"/>
  <c r="V490" i="1"/>
  <c r="T490" i="1"/>
  <c r="S490" i="1"/>
  <c r="U490" i="1" s="1"/>
  <c r="V489" i="1"/>
  <c r="U489" i="1"/>
  <c r="T489" i="1"/>
  <c r="S489" i="1"/>
  <c r="R489" i="1" s="1"/>
  <c r="V488" i="1"/>
  <c r="U488" i="1"/>
  <c r="T488" i="1"/>
  <c r="S488" i="1"/>
  <c r="R488" i="1"/>
  <c r="V487" i="1"/>
  <c r="U487" i="1"/>
  <c r="T487" i="1"/>
  <c r="S487" i="1"/>
  <c r="R487" i="1" s="1"/>
  <c r="V486" i="1"/>
  <c r="U486" i="1"/>
  <c r="S486" i="1"/>
  <c r="R486" i="1" s="1"/>
  <c r="N486" i="1"/>
  <c r="D485" i="1"/>
  <c r="T486" i="1" s="1"/>
  <c r="E484" i="1"/>
  <c r="N483" i="1"/>
  <c r="C483" i="1"/>
  <c r="S483" i="1" s="1"/>
  <c r="C482" i="1"/>
  <c r="U481" i="1"/>
  <c r="C481" i="1"/>
  <c r="T481" i="1" s="1"/>
  <c r="U480" i="1"/>
  <c r="T480" i="1"/>
  <c r="S480" i="1"/>
  <c r="R480" i="1" s="1"/>
  <c r="D480" i="1"/>
  <c r="C480" i="1"/>
  <c r="B489" i="1" s="1"/>
  <c r="B479" i="1"/>
  <c r="B475" i="1"/>
  <c r="S469" i="1"/>
  <c r="D468" i="1"/>
  <c r="V469" i="1" s="1"/>
  <c r="E467" i="1"/>
  <c r="C466" i="1"/>
  <c r="C468" i="1" s="1"/>
  <c r="U468" i="1" s="1"/>
  <c r="B461" i="1"/>
  <c r="AA451" i="1"/>
  <c r="X451" i="1"/>
  <c r="U451" i="1"/>
  <c r="AA450" i="1"/>
  <c r="C449" i="1"/>
  <c r="E449" i="1" s="1"/>
  <c r="C448" i="1"/>
  <c r="E448" i="1" s="1"/>
  <c r="E447" i="1"/>
  <c r="D446" i="1"/>
  <c r="D450" i="1" s="1"/>
  <c r="D451" i="1" s="1"/>
  <c r="C446" i="1"/>
  <c r="E446" i="1" s="1"/>
  <c r="D445" i="1"/>
  <c r="B442" i="1"/>
  <c r="AA435" i="1"/>
  <c r="Y435" i="1"/>
  <c r="X435" i="1"/>
  <c r="W435" i="1"/>
  <c r="AA434" i="1"/>
  <c r="C433" i="1"/>
  <c r="E433" i="1" s="1"/>
  <c r="C432" i="1"/>
  <c r="E432" i="1" s="1"/>
  <c r="C431" i="1"/>
  <c r="E431" i="1" s="1"/>
  <c r="C430" i="1"/>
  <c r="E430" i="1" s="1"/>
  <c r="C429" i="1"/>
  <c r="E429" i="1" s="1"/>
  <c r="D428" i="1"/>
  <c r="C428" i="1"/>
  <c r="D427" i="1"/>
  <c r="C427" i="1"/>
  <c r="B422" i="1"/>
  <c r="D415" i="1"/>
  <c r="C415" i="1"/>
  <c r="D414" i="1"/>
  <c r="C414" i="1"/>
  <c r="B410" i="1"/>
  <c r="D392" i="1"/>
  <c r="D393" i="1" s="1"/>
  <c r="C392" i="1"/>
  <c r="C393" i="1" s="1"/>
  <c r="T383" i="1"/>
  <c r="D382" i="1"/>
  <c r="K381" i="1"/>
  <c r="C381" i="1"/>
  <c r="E381" i="1" s="1"/>
  <c r="E380" i="1"/>
  <c r="C380" i="1"/>
  <c r="C379" i="1"/>
  <c r="C382" i="1" s="1"/>
  <c r="U382" i="1" s="1"/>
  <c r="K378" i="1"/>
  <c r="D378" i="1"/>
  <c r="C378" i="1"/>
  <c r="B374" i="1"/>
  <c r="T363" i="1"/>
  <c r="D362" i="1"/>
  <c r="S363" i="1" s="1"/>
  <c r="C361" i="1"/>
  <c r="C362" i="1" s="1"/>
  <c r="S362" i="1" s="1"/>
  <c r="E360" i="1"/>
  <c r="D359" i="1"/>
  <c r="C359" i="1"/>
  <c r="C150" i="1" s="1"/>
  <c r="C209" i="1" s="1"/>
  <c r="B356" i="1"/>
  <c r="E312" i="1"/>
  <c r="D312" i="1"/>
  <c r="C312" i="1"/>
  <c r="D310" i="1"/>
  <c r="E309" i="1"/>
  <c r="D308" i="1"/>
  <c r="C308" i="1"/>
  <c r="C310" i="1" s="1"/>
  <c r="E307" i="1"/>
  <c r="E306" i="1"/>
  <c r="E305" i="1"/>
  <c r="E302" i="1"/>
  <c r="D301" i="1"/>
  <c r="D303" i="1" s="1"/>
  <c r="C301" i="1"/>
  <c r="C303" i="1" s="1"/>
  <c r="E300" i="1"/>
  <c r="E301" i="1" s="1"/>
  <c r="E303" i="1" s="1"/>
  <c r="E299" i="1"/>
  <c r="E297" i="1"/>
  <c r="F296" i="1"/>
  <c r="C294" i="1"/>
  <c r="C293" i="1"/>
  <c r="D291" i="1"/>
  <c r="C291" i="1"/>
  <c r="D290" i="1"/>
  <c r="C290" i="1"/>
  <c r="E285" i="1"/>
  <c r="D284" i="1"/>
  <c r="C284" i="1"/>
  <c r="D283" i="1"/>
  <c r="C283" i="1"/>
  <c r="E280" i="1"/>
  <c r="D279" i="1"/>
  <c r="C279" i="1"/>
  <c r="C281" i="1" s="1"/>
  <c r="E278" i="1"/>
  <c r="E277" i="1"/>
  <c r="E279" i="1" s="1"/>
  <c r="E276" i="1"/>
  <c r="C272" i="1"/>
  <c r="C271" i="1"/>
  <c r="E270" i="1"/>
  <c r="D269" i="1"/>
  <c r="C269" i="1" s="1"/>
  <c r="E265" i="1"/>
  <c r="C263" i="1"/>
  <c r="E261" i="1"/>
  <c r="D260" i="1"/>
  <c r="E260" i="1" s="1"/>
  <c r="D259" i="1"/>
  <c r="D264" i="1" s="1"/>
  <c r="D266" i="1" s="1"/>
  <c r="C259" i="1"/>
  <c r="E256" i="1"/>
  <c r="C254" i="1"/>
  <c r="B254" i="1"/>
  <c r="B263" i="1" s="1"/>
  <c r="B272" i="1" s="1"/>
  <c r="B287" i="1" s="1"/>
  <c r="B294" i="1" s="1"/>
  <c r="C253" i="1"/>
  <c r="B253" i="1"/>
  <c r="B262" i="1" s="1"/>
  <c r="B271" i="1" s="1"/>
  <c r="B286" i="1" s="1"/>
  <c r="B293" i="1" s="1"/>
  <c r="E252" i="1"/>
  <c r="B252" i="1"/>
  <c r="B261" i="1" s="1"/>
  <c r="B270" i="1" s="1"/>
  <c r="B285" i="1" s="1"/>
  <c r="B292" i="1" s="1"/>
  <c r="D251" i="1"/>
  <c r="E251" i="1" s="1"/>
  <c r="B251" i="1"/>
  <c r="B260" i="1" s="1"/>
  <c r="B269" i="1" s="1"/>
  <c r="B284" i="1" s="1"/>
  <c r="B291" i="1" s="1"/>
  <c r="D250" i="1"/>
  <c r="E250" i="1" s="1"/>
  <c r="C250" i="1"/>
  <c r="B250" i="1"/>
  <c r="B259" i="1" s="1"/>
  <c r="B268" i="1" s="1"/>
  <c r="B283" i="1" s="1"/>
  <c r="B290" i="1" s="1"/>
  <c r="E247" i="1"/>
  <c r="C245" i="1"/>
  <c r="C244" i="1"/>
  <c r="E243" i="1"/>
  <c r="D241" i="1"/>
  <c r="D246" i="1" s="1"/>
  <c r="D248" i="1" s="1"/>
  <c r="D238" i="1"/>
  <c r="C238" i="1"/>
  <c r="B237" i="1"/>
  <c r="B234" i="1"/>
  <c r="C211" i="1"/>
  <c r="C212" i="1" s="1"/>
  <c r="C213" i="1" s="1"/>
  <c r="E210" i="1"/>
  <c r="E206" i="1"/>
  <c r="E204" i="1"/>
  <c r="E203" i="1"/>
  <c r="E202" i="1"/>
  <c r="E201" i="1"/>
  <c r="E200" i="1"/>
  <c r="E199" i="1"/>
  <c r="E198" i="1"/>
  <c r="E207" i="1" s="1"/>
  <c r="B193" i="1"/>
  <c r="D186" i="1"/>
  <c r="S187" i="1" s="1"/>
  <c r="C185" i="1"/>
  <c r="C186" i="1" s="1"/>
  <c r="S186" i="1" s="1"/>
  <c r="C183" i="1"/>
  <c r="E183" i="1" s="1"/>
  <c r="E181" i="1"/>
  <c r="C181" i="1"/>
  <c r="B177" i="1"/>
  <c r="D167" i="1"/>
  <c r="V168" i="1" s="1"/>
  <c r="C166" i="1"/>
  <c r="D165" i="1"/>
  <c r="C165" i="1"/>
  <c r="E165" i="1" s="1"/>
  <c r="D164" i="1"/>
  <c r="D180" i="1" s="1"/>
  <c r="C164" i="1"/>
  <c r="C180" i="1" s="1"/>
  <c r="B161" i="1"/>
  <c r="D152" i="1"/>
  <c r="D153" i="1" s="1"/>
  <c r="C152" i="1"/>
  <c r="D150" i="1"/>
  <c r="D209" i="1" s="1"/>
  <c r="B148" i="1"/>
  <c r="D141" i="1"/>
  <c r="U142" i="1" s="1"/>
  <c r="C141" i="1"/>
  <c r="T142" i="1" s="1"/>
  <c r="D140" i="1"/>
  <c r="C140" i="1"/>
  <c r="E140" i="1" s="1"/>
  <c r="D139" i="1"/>
  <c r="C139" i="1"/>
  <c r="C465" i="1" s="1"/>
  <c r="B136" i="1"/>
  <c r="B388" i="1" s="1"/>
  <c r="X127" i="1"/>
  <c r="C125" i="1"/>
  <c r="C124" i="1"/>
  <c r="E124" i="1" s="1"/>
  <c r="C123" i="1"/>
  <c r="E123" i="1" s="1"/>
  <c r="C122" i="1"/>
  <c r="E122" i="1" s="1"/>
  <c r="C121" i="1"/>
  <c r="E121" i="1" s="1"/>
  <c r="E120" i="1"/>
  <c r="C120" i="1"/>
  <c r="C119" i="1"/>
  <c r="E119" i="1" s="1"/>
  <c r="D118" i="1"/>
  <c r="D126" i="1" s="1"/>
  <c r="C118" i="1"/>
  <c r="D117" i="1"/>
  <c r="B214" i="1" s="1"/>
  <c r="C117" i="1"/>
  <c r="B112" i="1"/>
  <c r="B14" i="1"/>
  <c r="C610" i="1" l="1"/>
  <c r="C622" i="1" s="1"/>
  <c r="R490" i="1"/>
  <c r="E185" i="1"/>
  <c r="E291" i="1"/>
  <c r="E415" i="1"/>
  <c r="E483" i="1"/>
  <c r="U491" i="1"/>
  <c r="U493" i="1"/>
  <c r="R493" i="1" s="1"/>
  <c r="C533" i="1"/>
  <c r="E535" i="1" s="1"/>
  <c r="D535" i="1" s="1"/>
  <c r="C578" i="1"/>
  <c r="C579" i="1" s="1"/>
  <c r="C295" i="1"/>
  <c r="C417" i="1"/>
  <c r="D434" i="1"/>
  <c r="T435" i="1" s="1"/>
  <c r="E284" i="1"/>
  <c r="E427" i="1"/>
  <c r="T483" i="1"/>
  <c r="C613" i="1"/>
  <c r="C614" i="1" s="1"/>
  <c r="E414" i="1"/>
  <c r="C126" i="1"/>
  <c r="E152" i="1"/>
  <c r="C167" i="1"/>
  <c r="S167" i="1" s="1"/>
  <c r="C182" i="1"/>
  <c r="E182" i="1" s="1"/>
  <c r="T186" i="1"/>
  <c r="D255" i="1"/>
  <c r="D257" i="1" s="1"/>
  <c r="C264" i="1"/>
  <c r="C266" i="1" s="1"/>
  <c r="D268" i="1"/>
  <c r="D273" i="1" s="1"/>
  <c r="D275" i="1" s="1"/>
  <c r="E283" i="1"/>
  <c r="S481" i="1"/>
  <c r="D511" i="1"/>
  <c r="C514" i="1" s="1"/>
  <c r="E575" i="1"/>
  <c r="E578" i="1" s="1"/>
  <c r="E580" i="1" s="1"/>
  <c r="D580" i="1" s="1"/>
  <c r="E118" i="1"/>
  <c r="E259" i="1"/>
  <c r="E264" i="1" s="1"/>
  <c r="E266" i="1" s="1"/>
  <c r="D295" i="1"/>
  <c r="E392" i="1"/>
  <c r="E393" i="1" s="1"/>
  <c r="E395" i="1" s="1"/>
  <c r="D395" i="1" s="1"/>
  <c r="D417" i="1"/>
  <c r="U418" i="1" s="1"/>
  <c r="E428" i="1"/>
  <c r="E434" i="1" s="1"/>
  <c r="E466" i="1"/>
  <c r="E468" i="1" s="1"/>
  <c r="E470" i="1" s="1"/>
  <c r="D470" i="1" s="1"/>
  <c r="V481" i="1"/>
  <c r="E600" i="1"/>
  <c r="E602" i="1" s="1"/>
  <c r="D602" i="1" s="1"/>
  <c r="E255" i="1"/>
  <c r="E257" i="1" s="1"/>
  <c r="S168" i="1"/>
  <c r="C255" i="1"/>
  <c r="C257" i="1" s="1"/>
  <c r="E290" i="1"/>
  <c r="E295" i="1" s="1"/>
  <c r="C450" i="1"/>
  <c r="V450" i="1" s="1"/>
  <c r="E481" i="1"/>
  <c r="C485" i="1"/>
  <c r="C511" i="1"/>
  <c r="C513" i="1" s="1"/>
  <c r="E523" i="1"/>
  <c r="E533" i="1" s="1"/>
  <c r="W126" i="1"/>
  <c r="V126" i="1"/>
  <c r="U126" i="1"/>
  <c r="C127" i="1"/>
  <c r="Y127" i="1" s="1"/>
  <c r="T126" i="1"/>
  <c r="T167" i="1"/>
  <c r="C168" i="1"/>
  <c r="U127" i="1"/>
  <c r="T127" i="1"/>
  <c r="W127" i="1"/>
  <c r="V127" i="1"/>
  <c r="T154" i="1"/>
  <c r="S154" i="1"/>
  <c r="U154" i="1"/>
  <c r="E269" i="1"/>
  <c r="C268" i="1"/>
  <c r="D438" i="1"/>
  <c r="V435" i="1"/>
  <c r="U435" i="1"/>
  <c r="E126" i="1"/>
  <c r="E128" i="1" s="1"/>
  <c r="D128" i="1" s="1"/>
  <c r="D211" i="1"/>
  <c r="E208" i="1"/>
  <c r="E281" i="1"/>
  <c r="E288" i="1" s="1"/>
  <c r="B128" i="1"/>
  <c r="E141" i="1"/>
  <c r="E142" i="1" s="1"/>
  <c r="C151" i="1"/>
  <c r="E166" i="1"/>
  <c r="E167" i="1" s="1"/>
  <c r="E169" i="1" s="1"/>
  <c r="D169" i="1" s="1"/>
  <c r="T168" i="1"/>
  <c r="E186" i="1"/>
  <c r="E188" i="1" s="1"/>
  <c r="D188" i="1" s="1"/>
  <c r="U186" i="1"/>
  <c r="R186" i="1" s="1"/>
  <c r="B178" i="1" s="1"/>
  <c r="T187" i="1"/>
  <c r="R187" i="1" s="1"/>
  <c r="T212" i="1"/>
  <c r="E308" i="1"/>
  <c r="E310" i="1" s="1"/>
  <c r="B315" i="1"/>
  <c r="E361" i="1"/>
  <c r="E362" i="1" s="1"/>
  <c r="E364" i="1" s="1"/>
  <c r="T362" i="1"/>
  <c r="R362" i="1" s="1"/>
  <c r="B357" i="1" s="1"/>
  <c r="U363" i="1"/>
  <c r="R363" i="1" s="1"/>
  <c r="E379" i="1"/>
  <c r="E382" i="1" s="1"/>
  <c r="E384" i="1" s="1"/>
  <c r="D384" i="1" s="1"/>
  <c r="T382" i="1"/>
  <c r="B384" i="1"/>
  <c r="T417" i="1"/>
  <c r="B419" i="1"/>
  <c r="V451" i="1"/>
  <c r="R481" i="1"/>
  <c r="E548" i="1"/>
  <c r="E550" i="1" s="1"/>
  <c r="D550" i="1" s="1"/>
  <c r="C549" i="1"/>
  <c r="C142" i="1"/>
  <c r="B144" i="1"/>
  <c r="B155" i="1"/>
  <c r="U168" i="1"/>
  <c r="C187" i="1"/>
  <c r="U187" i="1"/>
  <c r="U212" i="1"/>
  <c r="C241" i="1"/>
  <c r="C288" i="1"/>
  <c r="C296" i="1" s="1"/>
  <c r="U362" i="1"/>
  <c r="B364" i="1"/>
  <c r="T418" i="1"/>
  <c r="S418" i="1"/>
  <c r="E450" i="1"/>
  <c r="E452" i="1" s="1"/>
  <c r="D452" i="1" s="1"/>
  <c r="S450" i="1"/>
  <c r="B470" i="1"/>
  <c r="D465" i="1"/>
  <c r="D413" i="1"/>
  <c r="D426" i="1" s="1"/>
  <c r="D391" i="1"/>
  <c r="D142" i="1"/>
  <c r="B188" i="1"/>
  <c r="V212" i="1"/>
  <c r="V383" i="1"/>
  <c r="U383" i="1"/>
  <c r="S383" i="1"/>
  <c r="V417" i="1"/>
  <c r="U417" i="1"/>
  <c r="C434" i="1"/>
  <c r="T451" i="1"/>
  <c r="W451" i="1"/>
  <c r="S451" i="1"/>
  <c r="T468" i="1"/>
  <c r="C469" i="1"/>
  <c r="S468" i="1"/>
  <c r="V468" i="1"/>
  <c r="C534" i="1"/>
  <c r="B487" i="1"/>
  <c r="B627" i="1"/>
  <c r="B615" i="1"/>
  <c r="B602" i="1"/>
  <c r="B550" i="1"/>
  <c r="B436" i="1"/>
  <c r="B580" i="1"/>
  <c r="B567" i="1"/>
  <c r="B535" i="1"/>
  <c r="B169" i="1"/>
  <c r="S212" i="1"/>
  <c r="R212" i="1" s="1"/>
  <c r="B194" i="1" s="1"/>
  <c r="D288" i="1"/>
  <c r="D281" i="1"/>
  <c r="S382" i="1"/>
  <c r="V382" i="1"/>
  <c r="C391" i="1"/>
  <c r="C413" i="1"/>
  <c r="C451" i="1"/>
  <c r="U450" i="1"/>
  <c r="W450" i="1"/>
  <c r="B452" i="1"/>
  <c r="E485" i="1"/>
  <c r="E487" i="1" s="1"/>
  <c r="D487" i="1" s="1"/>
  <c r="C486" i="1"/>
  <c r="S485" i="1"/>
  <c r="V485" i="1"/>
  <c r="U485" i="1"/>
  <c r="T485" i="1"/>
  <c r="C635" i="1"/>
  <c r="U625" i="1"/>
  <c r="T625" i="1"/>
  <c r="S625" i="1"/>
  <c r="V625" i="1"/>
  <c r="T469" i="1"/>
  <c r="R469" i="1" s="1"/>
  <c r="B477" i="1"/>
  <c r="E482" i="1"/>
  <c r="U482" i="1"/>
  <c r="U483" i="1"/>
  <c r="D486" i="1"/>
  <c r="V491" i="1"/>
  <c r="R491" i="1" s="1"/>
  <c r="T492" i="1"/>
  <c r="C545" i="1"/>
  <c r="E546" i="1"/>
  <c r="E558" i="1"/>
  <c r="E565" i="1" s="1"/>
  <c r="E567" i="1" s="1"/>
  <c r="D567" i="1" s="1"/>
  <c r="E612" i="1"/>
  <c r="E613" i="1" s="1"/>
  <c r="E615" i="1" s="1"/>
  <c r="D615" i="1" s="1"/>
  <c r="U626" i="1"/>
  <c r="U469" i="1"/>
  <c r="V482" i="1"/>
  <c r="V483" i="1"/>
  <c r="U492" i="1"/>
  <c r="D545" i="1"/>
  <c r="C600" i="1"/>
  <c r="C601" i="1" s="1"/>
  <c r="V626" i="1"/>
  <c r="S482" i="1"/>
  <c r="V492" i="1"/>
  <c r="S626" i="1"/>
  <c r="T482" i="1"/>
  <c r="E436" i="1" l="1"/>
  <c r="D436" i="1" s="1"/>
  <c r="E438" i="1"/>
  <c r="T450" i="1"/>
  <c r="B389" i="1"/>
  <c r="D296" i="1"/>
  <c r="D298" i="1" s="1"/>
  <c r="D311" i="1" s="1"/>
  <c r="E296" i="1"/>
  <c r="E298" i="1" s="1"/>
  <c r="AB435" i="1"/>
  <c r="V167" i="1"/>
  <c r="U167" i="1"/>
  <c r="R167" i="1" s="1"/>
  <c r="B162" i="1" s="1"/>
  <c r="R168" i="1"/>
  <c r="R126" i="1"/>
  <c r="E417" i="1"/>
  <c r="E419" i="1" s="1"/>
  <c r="D419" i="1" s="1"/>
  <c r="R483" i="1"/>
  <c r="B476" i="1" s="1"/>
  <c r="R451" i="1"/>
  <c r="R127" i="1"/>
  <c r="B113" i="1" s="1"/>
  <c r="R492" i="1"/>
  <c r="B490" i="1" s="1"/>
  <c r="R418" i="1"/>
  <c r="C298" i="1"/>
  <c r="E144" i="1"/>
  <c r="D144" i="1" s="1"/>
  <c r="U143" i="1"/>
  <c r="R482" i="1"/>
  <c r="C426" i="1"/>
  <c r="R383" i="1"/>
  <c r="E211" i="1"/>
  <c r="E212" i="1" s="1"/>
  <c r="E214" i="1" s="1"/>
  <c r="D214" i="1" s="1"/>
  <c r="D212" i="1"/>
  <c r="C438" i="1"/>
  <c r="V434" i="1"/>
  <c r="AB434" i="1"/>
  <c r="U434" i="1"/>
  <c r="C435" i="1"/>
  <c r="T434" i="1"/>
  <c r="T143" i="1"/>
  <c r="S143" i="1"/>
  <c r="R154" i="1"/>
  <c r="R626" i="1"/>
  <c r="R625" i="1"/>
  <c r="E241" i="1"/>
  <c r="S142" i="1"/>
  <c r="R142" i="1" s="1"/>
  <c r="C143" i="1"/>
  <c r="C153" i="1"/>
  <c r="E151" i="1"/>
  <c r="E153" i="1" s="1"/>
  <c r="E155" i="1" s="1"/>
  <c r="D155" i="1" s="1"/>
  <c r="E268" i="1"/>
  <c r="E273" i="1" s="1"/>
  <c r="E275" i="1" s="1"/>
  <c r="C273" i="1"/>
  <c r="C275" i="1" s="1"/>
  <c r="R485" i="1"/>
  <c r="R382" i="1"/>
  <c r="B375" i="1" s="1"/>
  <c r="R468" i="1"/>
  <c r="B462" i="1" s="1"/>
  <c r="R450" i="1"/>
  <c r="B443" i="1" s="1"/>
  <c r="R417" i="1"/>
  <c r="B411" i="1" s="1"/>
  <c r="C418" i="1"/>
  <c r="R435" i="1"/>
  <c r="D313" i="1" l="1"/>
  <c r="R434" i="1"/>
  <c r="B423" i="1" s="1"/>
  <c r="R143" i="1"/>
  <c r="B137" i="1"/>
  <c r="U153" i="1"/>
  <c r="T153" i="1"/>
  <c r="S153" i="1"/>
  <c r="V153" i="1"/>
  <c r="C242" i="1"/>
  <c r="B620" i="1"/>
  <c r="T213" i="1"/>
  <c r="S213" i="1"/>
  <c r="R213" i="1" s="1"/>
  <c r="V213" i="1"/>
  <c r="U213" i="1"/>
  <c r="D213" i="1"/>
  <c r="R153" i="1" l="1"/>
  <c r="B149" i="1" s="1"/>
  <c r="E242" i="1"/>
  <c r="E246" i="1" s="1"/>
  <c r="E248" i="1" s="1"/>
  <c r="E311" i="1" s="1"/>
  <c r="E313" i="1" s="1"/>
  <c r="E315" i="1" s="1"/>
  <c r="D315" i="1" s="1"/>
  <c r="C246" i="1"/>
  <c r="C248" i="1" s="1"/>
  <c r="C313" i="1" l="1"/>
  <c r="C311" i="1"/>
  <c r="F545" i="4" l="1"/>
</calcChain>
</file>

<file path=xl/comments1.xml><?xml version="1.0" encoding="utf-8"?>
<comments xmlns="http://schemas.openxmlformats.org/spreadsheetml/2006/main">
  <authors>
    <author>JUAN J. SANCHEZ</author>
  </authors>
  <commentList>
    <comment ref="C380"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<sst xmlns="http://schemas.openxmlformats.org/spreadsheetml/2006/main" count="2162" uniqueCount="1536">
  <si>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</si>
  <si>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</si>
  <si>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</si>
  <si>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</si>
  <si>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</si>
  <si>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</si>
  <si>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</si>
  <si>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</si>
  <si>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</si>
  <si>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</si>
  <si>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</si>
  <si>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</si>
  <si>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</si>
  <si>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</si>
  <si>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</si>
  <si>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 xml:space="preserve">Jose Gregorio Henríquez </t>
  </si>
  <si>
    <t>Director Comercial</t>
  </si>
  <si>
    <t>Joel Andrés Bautista Gómez</t>
  </si>
  <si>
    <t>Jurídico</t>
  </si>
  <si>
    <t>Stephany Almonte</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</si>
  <si>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</si>
  <si>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</si>
  <si>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</si>
  <si>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</si>
  <si>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</si>
  <si>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</si>
  <si>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</si>
  <si>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</si>
  <si>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</si>
  <si>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</si>
  <si>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</si>
  <si>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</si>
  <si>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</si>
  <si>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</si>
  <si>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</si>
  <si>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</si>
  <si>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</si>
  <si>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</si>
  <si>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</si>
  <si>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</si>
  <si>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</si>
  <si>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</si>
  <si>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</si>
  <si>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</si>
  <si>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</si>
  <si>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</si>
  <si>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</si>
  <si>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</si>
  <si>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</si>
  <si>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</si>
  <si>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</si>
  <si>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</si>
  <si>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</si>
  <si>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</si>
  <si>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</si>
  <si>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</si>
  <si>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</si>
  <si>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</si>
  <si>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</si>
  <si>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</si>
  <si>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</si>
  <si>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</si>
  <si>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</si>
  <si>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</si>
  <si>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</si>
  <si>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</si>
  <si>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</si>
  <si>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</si>
  <si>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</si>
  <si>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</si>
  <si>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</si>
  <si>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</si>
  <si>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</si>
  <si>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</si>
  <si>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</si>
  <si>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</si>
  <si>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</si>
  <si>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</si>
  <si>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</si>
  <si>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</si>
  <si>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</si>
  <si>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</si>
  <si>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</si>
  <si>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</si>
  <si>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</si>
  <si>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</si>
  <si>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</si>
  <si>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</si>
  <si>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</si>
  <si>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</si>
  <si>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</si>
  <si>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</si>
  <si>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seis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</si>
  <si>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</si>
  <si>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</si>
  <si>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</si>
  <si>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</si>
  <si>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</si>
  <si>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</si>
  <si>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</si>
  <si>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</si>
  <si>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</si>
  <si>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</si>
  <si>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</si>
  <si>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</si>
  <si>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</si>
  <si>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</si>
  <si>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</si>
  <si>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</si>
  <si>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</si>
  <si>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</si>
  <si>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</si>
  <si>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</si>
  <si>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</si>
  <si>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</si>
  <si>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</si>
  <si>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</si>
  <si>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</si>
  <si>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</si>
  <si>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</si>
  <si>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</si>
  <si>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</si>
  <si>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</si>
  <si>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</si>
  <si>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</si>
  <si>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</si>
  <si>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</si>
  <si>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</si>
  <si>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</si>
  <si>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</si>
  <si>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Estamos en espera de la autorizacion para ajustar esta partida, en el proximo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</si>
  <si>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</si>
  <si>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</si>
  <si>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</si>
  <si>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</si>
  <si>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</si>
  <si>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</si>
  <si>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</si>
  <si>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</si>
  <si>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</si>
  <si>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</si>
  <si>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</si>
  <si>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</si>
  <si>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</si>
  <si>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</si>
  <si>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</si>
  <si>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</si>
  <si>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</si>
  <si>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</si>
  <si>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</si>
  <si>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</si>
  <si>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</si>
  <si>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</si>
  <si>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</si>
  <si>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</si>
  <si>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</si>
  <si>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</si>
  <si>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</si>
  <si>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</si>
  <si>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</si>
  <si>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</si>
  <si>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</si>
  <si>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</si>
  <si>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</si>
  <si>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</si>
  <si>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</si>
  <si>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</si>
  <si>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</si>
  <si>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</si>
  <si>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</si>
  <si>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</si>
  <si>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</si>
  <si>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</si>
  <si>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</si>
  <si>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</si>
  <si>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</si>
  <si>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</si>
  <si>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</si>
  <si>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</si>
  <si>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</si>
  <si>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</si>
  <si>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</si>
  <si>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</si>
  <si>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</si>
  <si>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</si>
  <si>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</si>
  <si>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</si>
  <si>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</si>
  <si>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</si>
  <si>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</si>
  <si>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</si>
  <si>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</si>
  <si>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</si>
  <si>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</si>
  <si>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</si>
  <si>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</si>
  <si>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</si>
  <si>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</si>
  <si>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</si>
  <si>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</si>
  <si>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</si>
  <si>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</si>
  <si>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</si>
  <si>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</si>
  <si>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</si>
  <si>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</si>
  <si>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</si>
  <si>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</si>
  <si>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</si>
  <si>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</si>
  <si>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</si>
  <si>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</si>
  <si>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</si>
  <si>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</si>
  <si>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</si>
  <si>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</si>
  <si>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 Otras Cuentas por pagar están integrada por  Otro proveedores directo a pagar a corto plazo y  cuenta por pagar usos internos,  por cheques anulados  fuera de fecha que no ha sido reclamado.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</si>
  <si>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</si>
  <si>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</si>
  <si>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</si>
  <si>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</si>
  <si>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</si>
  <si>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</si>
  <si>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</si>
  <si>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</si>
  <si>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</si>
  <si>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</si>
  <si>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</si>
  <si>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</si>
  <si>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</si>
  <si>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</si>
  <si>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</si>
  <si>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</si>
  <si>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</si>
  <si>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</si>
  <si>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</si>
  <si>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</si>
  <si>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</si>
  <si>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</si>
  <si>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</si>
  <si>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</si>
  <si>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</si>
  <si>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</si>
  <si>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</si>
  <si>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</si>
  <si>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</si>
  <si>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</si>
  <si>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</si>
  <si>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</si>
  <si>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</si>
  <si>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</si>
  <si>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</si>
  <si>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</si>
  <si>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</si>
  <si>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</si>
  <si>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</si>
  <si>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</si>
  <si>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</si>
  <si>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</si>
  <si>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</si>
  <si>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</si>
  <si>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</si>
  <si>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</si>
  <si>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</si>
  <si>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</si>
  <si>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</si>
  <si>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</si>
  <si>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</si>
  <si>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</si>
  <si>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</si>
  <si>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</si>
  <si>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</si>
  <si>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</si>
  <si>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</si>
  <si>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</si>
  <si>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</si>
  <si>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</si>
  <si>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</si>
  <si>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</si>
  <si>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</si>
  <si>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</si>
  <si>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</si>
  <si>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</si>
  <si>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En el mes de diciembre 2024 la institución recibió a parte de la transferencia corriente normal y el cheque No. 070900 de la presidencia de la republica, para gasto corriente por valor de RD$4,235,517.00</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</si>
  <si>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</si>
  <si>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</si>
  <si>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</si>
  <si>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</si>
  <si>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</si>
  <si>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</si>
  <si>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</si>
  <si>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</si>
  <si>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</si>
  <si>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</si>
  <si>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</si>
  <si>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</si>
  <si>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</si>
  <si>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</si>
  <si>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</si>
  <si>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</si>
  <si>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</si>
  <si>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</si>
  <si>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</si>
  <si>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</si>
  <si>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</si>
  <si>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</si>
  <si>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</si>
  <si>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</si>
  <si>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</si>
  <si>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</si>
  <si>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</si>
  <si>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</si>
  <si>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</si>
  <si>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</si>
  <si>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</si>
  <si>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</si>
  <si>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</si>
  <si>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</si>
  <si>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</si>
  <si>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</si>
  <si>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</si>
  <si>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</si>
  <si>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</si>
  <si>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</si>
  <si>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</si>
  <si>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</si>
  <si>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</si>
  <si>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</si>
  <si>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</si>
  <si>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</si>
  <si>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</si>
  <si>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</si>
  <si>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</si>
  <si>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</si>
  <si>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</si>
  <si>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</si>
  <si>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</si>
  <si>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</si>
  <si>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</si>
  <si>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</si>
  <si>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</si>
  <si>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</si>
  <si>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</si>
  <si>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</si>
  <si>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</si>
  <si>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</si>
  <si>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</si>
  <si>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</si>
  <si>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</si>
  <si>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</si>
  <si>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</si>
  <si>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</si>
  <si>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</si>
  <si>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</si>
  <si>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</si>
  <si>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</si>
  <si>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</si>
  <si>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</si>
  <si>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</si>
  <si>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</si>
  <si>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</si>
  <si>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</si>
  <si>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</si>
  <si>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</si>
  <si>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</si>
  <si>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</si>
  <si>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</si>
  <si>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</si>
  <si>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</si>
  <si>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</si>
  <si>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</si>
  <si>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</si>
  <si>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</si>
  <si>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</si>
  <si>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</si>
  <si>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</si>
  <si>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</si>
  <si>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</si>
  <si>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</si>
  <si>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</si>
  <si>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</si>
  <si>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</si>
  <si>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</si>
  <si>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</si>
  <si>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</si>
  <si>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</si>
  <si>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</si>
  <si>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</si>
  <si>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</si>
  <si>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</si>
  <si>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</si>
  <si>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</si>
  <si>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</si>
  <si>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</si>
  <si>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</si>
  <si>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</si>
  <si>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</si>
  <si>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</si>
  <si>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</si>
  <si>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</si>
  <si>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</si>
  <si>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</si>
  <si>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</si>
  <si>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</si>
  <si>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</si>
  <si>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</si>
  <si>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</si>
  <si>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</si>
  <si>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</si>
  <si>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</si>
  <si>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</si>
  <si>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</si>
  <si>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</si>
  <si>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</si>
  <si>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</si>
  <si>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</si>
  <si>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</si>
  <si>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</si>
  <si>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</si>
  <si>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</si>
  <si>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</si>
  <si>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</si>
  <si>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</si>
  <si>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</si>
  <si>
    <t/>
  </si>
  <si>
    <t>Inventario al 30 Junio 2025</t>
  </si>
  <si>
    <t>Producto</t>
  </si>
  <si>
    <t>Descripción</t>
  </si>
  <si>
    <t>Alm.</t>
  </si>
  <si>
    <t>Cantidad</t>
  </si>
  <si>
    <t>000003</t>
  </si>
  <si>
    <t>TAPONES DE 3/4 PVC</t>
  </si>
  <si>
    <t>001</t>
  </si>
  <si>
    <t>000004</t>
  </si>
  <si>
    <t>TAPONES DE 1 PVC</t>
  </si>
  <si>
    <t>000005</t>
  </si>
  <si>
    <t>TAPONES DE 1 1/2 PVC</t>
  </si>
  <si>
    <t>000007</t>
  </si>
  <si>
    <t>TAPONES DE 3 PVC</t>
  </si>
  <si>
    <t>000012</t>
  </si>
  <si>
    <t>UNIONES DE 1 1/2 PVC</t>
  </si>
  <si>
    <t>000016</t>
  </si>
  <si>
    <t>CODO  DE 1 PVC</t>
  </si>
  <si>
    <t>000017</t>
  </si>
  <si>
    <t>CODO  DE 1 1/2 PVC</t>
  </si>
  <si>
    <t>000018</t>
  </si>
  <si>
    <t>CODO  DE 2 PVC</t>
  </si>
  <si>
    <t>000019</t>
  </si>
  <si>
    <t>CODO  DE 4 PVC</t>
  </si>
  <si>
    <t>000020</t>
  </si>
  <si>
    <t>ADAPTADORES M DE 1/2 PVC</t>
  </si>
  <si>
    <t>000021</t>
  </si>
  <si>
    <t>ADAPTADORES M DE 3/4 PVC</t>
  </si>
  <si>
    <t>000022</t>
  </si>
  <si>
    <t>ADAPTADORES H DE 1/2 PVC</t>
  </si>
  <si>
    <t>000023</t>
  </si>
  <si>
    <t>ADAPTADORES H DE 3/4 PVC</t>
  </si>
  <si>
    <t>000024</t>
  </si>
  <si>
    <t>JUNTA DRESSER DE 1/2 PVC</t>
  </si>
  <si>
    <t>000025</t>
  </si>
  <si>
    <t>JUNTA DRESSER DE 3/4 PVC</t>
  </si>
  <si>
    <t>000028</t>
  </si>
  <si>
    <t>JUNTA DRESSER DE 2 PVC</t>
  </si>
  <si>
    <t>000029</t>
  </si>
  <si>
    <t>CLAN DE 2 A 1/2 PVC</t>
  </si>
  <si>
    <t>000030</t>
  </si>
  <si>
    <t>CLAN DE 3 A 1/2 PVC</t>
  </si>
  <si>
    <t>000031</t>
  </si>
  <si>
    <t>CLAN  DE 4 A 1/2 PVC</t>
  </si>
  <si>
    <t>000033</t>
  </si>
  <si>
    <t>REDUCIONES DE 1 A 1/2 PVC</t>
  </si>
  <si>
    <t>000035</t>
  </si>
  <si>
    <t>TUBOS DE PRESION DE 1/2 PVC</t>
  </si>
  <si>
    <t>000036</t>
  </si>
  <si>
    <t>TUBOS DE PRESION DE 3/4 PVC</t>
  </si>
  <si>
    <t>000037</t>
  </si>
  <si>
    <t>TUBOS DE PRESION DE 1 PVC</t>
  </si>
  <si>
    <t>000038</t>
  </si>
  <si>
    <t>TUBOS DE PRESION DE 1 1/2 PVC O P.MANTEN</t>
  </si>
  <si>
    <t>000040</t>
  </si>
  <si>
    <t>TUBOS DE PRESION DE 3 PVC</t>
  </si>
  <si>
    <t>000041</t>
  </si>
  <si>
    <t>TUBOS DE PRESION DE 4 PVC</t>
  </si>
  <si>
    <t>000042</t>
  </si>
  <si>
    <t>TUBOS DE PRESION DE 6 PVC</t>
  </si>
  <si>
    <t>000043</t>
  </si>
  <si>
    <t>TUBOS DE PRESION DE 8 PVC</t>
  </si>
  <si>
    <t>000044</t>
  </si>
  <si>
    <t xml:space="preserve">PICO </t>
  </si>
  <si>
    <t>000045</t>
  </si>
  <si>
    <t>PALA WINCHE</t>
  </si>
  <si>
    <t>000046</t>
  </si>
  <si>
    <t>SEGUETAS</t>
  </si>
  <si>
    <t>000047</t>
  </si>
  <si>
    <t>CEMENTO TANGIT DE 1/4 950ML PVC</t>
  </si>
  <si>
    <t>000053</t>
  </si>
  <si>
    <t>CAJITA DE CLIP PEQ.</t>
  </si>
  <si>
    <t>000054</t>
  </si>
  <si>
    <t>CAJA DE LIGA</t>
  </si>
  <si>
    <t>000055</t>
  </si>
  <si>
    <t>CAJA DE GANCHO M/H</t>
  </si>
  <si>
    <t>000057</t>
  </si>
  <si>
    <t>SACA GRAPAS</t>
  </si>
  <si>
    <t>000058</t>
  </si>
  <si>
    <t>ALMOHADILLA P/ SELLO</t>
  </si>
  <si>
    <t>000062</t>
  </si>
  <si>
    <t xml:space="preserve">LAPIZ </t>
  </si>
  <si>
    <t>000070</t>
  </si>
  <si>
    <t>SOBRES DE USUARIOS PEQ</t>
  </si>
  <si>
    <t>000071</t>
  </si>
  <si>
    <t>CINTA PARA IMPRESORAS STAR SP200</t>
  </si>
  <si>
    <t>000072</t>
  </si>
  <si>
    <t>CINTA  DE SUMADORA</t>
  </si>
  <si>
    <t>000074</t>
  </si>
  <si>
    <t>RESMA DE PAPEL 8 1/2*14</t>
  </si>
  <si>
    <t>000077</t>
  </si>
  <si>
    <t>CAJA D PAPEL D ORDEN D COMPRA CONTINUAS</t>
  </si>
  <si>
    <t>000078</t>
  </si>
  <si>
    <t>SOBRES MANILA  9*12</t>
  </si>
  <si>
    <t>000079</t>
  </si>
  <si>
    <t>SOBRES MANILA  10*15</t>
  </si>
  <si>
    <t>000081</t>
  </si>
  <si>
    <t>ROLLO D PAPEL D IMPRESORAS 3 PULGADA</t>
  </si>
  <si>
    <t>000091</t>
  </si>
  <si>
    <t>LIBRO RECORD DE 500 PAGINA</t>
  </si>
  <si>
    <t>000092</t>
  </si>
  <si>
    <t>GALONES D CLORO</t>
  </si>
  <si>
    <t>000093</t>
  </si>
  <si>
    <t xml:space="preserve">DESINFECTANTE GALON </t>
  </si>
  <si>
    <t>000099</t>
  </si>
  <si>
    <t>PAQUETE DE CAFE</t>
  </si>
  <si>
    <t>000100</t>
  </si>
  <si>
    <t>PAQUETE D FUNDAS 17 * 22</t>
  </si>
  <si>
    <t>000101</t>
  </si>
  <si>
    <t>PAQUETE D FUNDAS 36 * 54</t>
  </si>
  <si>
    <t>000102</t>
  </si>
  <si>
    <t>TALONARIOS D CONTROL D ROTURAS</t>
  </si>
  <si>
    <t>000103</t>
  </si>
  <si>
    <t>TALONARIOS D  ORDEN D  TRABAJO</t>
  </si>
  <si>
    <t>000105</t>
  </si>
  <si>
    <t>TALONARIOS D REPORT DIARIO GAZPAR HERNAN</t>
  </si>
  <si>
    <t>000109</t>
  </si>
  <si>
    <t>TALONARIOS D  REPORTE DIARIO DE LA ROSA</t>
  </si>
  <si>
    <t>000110</t>
  </si>
  <si>
    <t>TALONARIOS D  REPORTE DIARIO D  JAMAO</t>
  </si>
  <si>
    <t>000117</t>
  </si>
  <si>
    <t>RECIBO D INGRESO D EFECTIVO PEQ C.S.C</t>
  </si>
  <si>
    <t>000119</t>
  </si>
  <si>
    <t xml:space="preserve">TALONARIOS DE REVISION DOMICILIARIA </t>
  </si>
  <si>
    <t>000120</t>
  </si>
  <si>
    <t>LIBRETA  DE APUNTE COMERCIAL GDE BLANCA</t>
  </si>
  <si>
    <t>000124</t>
  </si>
  <si>
    <t>RECIBO RP</t>
  </si>
  <si>
    <t>000125</t>
  </si>
  <si>
    <t>RECIBO INGRESO EFECTIVO INSTITUSION</t>
  </si>
  <si>
    <t>000129</t>
  </si>
  <si>
    <t>RECIBO CAJA CHICA COMPRA</t>
  </si>
  <si>
    <t>000131</t>
  </si>
  <si>
    <t>TALONARIOS DE PERMISO</t>
  </si>
  <si>
    <t>000132</t>
  </si>
  <si>
    <t>TALONARIOS SUSPENSION DE SERVICIO</t>
  </si>
  <si>
    <t>000133</t>
  </si>
  <si>
    <t>CAJA DE PAPEL 5 1/2*5 1/2 2P BLANCO 4/1</t>
  </si>
  <si>
    <t>000135</t>
  </si>
  <si>
    <t>TALONARIOS DE CONTRATO</t>
  </si>
  <si>
    <t>000142</t>
  </si>
  <si>
    <t>TEE DE 1 1/2 PVC</t>
  </si>
  <si>
    <t>000143</t>
  </si>
  <si>
    <t>TEE DE 1/2 PVC</t>
  </si>
  <si>
    <t>000144</t>
  </si>
  <si>
    <t>TEE DE 3/4 PVC</t>
  </si>
  <si>
    <t>000152</t>
  </si>
  <si>
    <t>TAL, DE REQUICISION SOLICITUD DE MATERIA</t>
  </si>
  <si>
    <t>000160</t>
  </si>
  <si>
    <t>PAPEL CARBON</t>
  </si>
  <si>
    <t>000167</t>
  </si>
  <si>
    <t>PAQUETE D FUNDAS NUMERO 6</t>
  </si>
  <si>
    <t>000172</t>
  </si>
  <si>
    <t>TALONARIOS DE ENTREGA D MATERIALES</t>
  </si>
  <si>
    <t>000175</t>
  </si>
  <si>
    <t>ABRASADERAS DE HIERRO DE 3 PULGADA</t>
  </si>
  <si>
    <t>000176</t>
  </si>
  <si>
    <t>SUAPER</t>
  </si>
  <si>
    <t>000177</t>
  </si>
  <si>
    <t>CAJITA D FOSFORO</t>
  </si>
  <si>
    <t>000178</t>
  </si>
  <si>
    <t>ADAPTADOR H DE 4 PULGADA PVC</t>
  </si>
  <si>
    <t>000186</t>
  </si>
  <si>
    <t>AMBIENTADORES</t>
  </si>
  <si>
    <t>000190</t>
  </si>
  <si>
    <t>ESCOBA</t>
  </si>
  <si>
    <t>000196</t>
  </si>
  <si>
    <t>SACOS DE SULFATO DE ALUMINIO DE 50KG</t>
  </si>
  <si>
    <t>000197</t>
  </si>
  <si>
    <t>BARRICAS DE CLOROHIDRATO</t>
  </si>
  <si>
    <t>000198</t>
  </si>
  <si>
    <t>CLORO GAS,LIBRA.</t>
  </si>
  <si>
    <t>000200</t>
  </si>
  <si>
    <t>CAJA DE PAPEL CONTINUO 9 1/2 * 5 1/2</t>
  </si>
  <si>
    <t>000207</t>
  </si>
  <si>
    <t>ROLLO D TEFLON</t>
  </si>
  <si>
    <t>000225</t>
  </si>
  <si>
    <t>CODO  DE 45 GRADO DE 1/2 PVC</t>
  </si>
  <si>
    <t>000226</t>
  </si>
  <si>
    <t>CODO  DE 45 GRADO 3/4 PVC</t>
  </si>
  <si>
    <t>000229</t>
  </si>
  <si>
    <t>CODO  NIPLE D ROCA DE 1/2  HG</t>
  </si>
  <si>
    <t>000241</t>
  </si>
  <si>
    <t>MEDIDORES DE 1/2</t>
  </si>
  <si>
    <t>000249</t>
  </si>
  <si>
    <t>TRAMO GRIS</t>
  </si>
  <si>
    <t>000277</t>
  </si>
  <si>
    <t>LAMPARA DE FARO EN ALUMINIO</t>
  </si>
  <si>
    <t>000279</t>
  </si>
  <si>
    <t>PALOMETA NIQUELADA</t>
  </si>
  <si>
    <t>000282</t>
  </si>
  <si>
    <t xml:space="preserve">BISAGRA </t>
  </si>
  <si>
    <t>000283</t>
  </si>
  <si>
    <t>TUBOS D 1/2  PVC ELECTRICO</t>
  </si>
  <si>
    <t>000285</t>
  </si>
  <si>
    <t>VALVULA D 6  HG D HIERRO COMPLETA</t>
  </si>
  <si>
    <t>000286</t>
  </si>
  <si>
    <t>VALVULA D 3  HG DE HIERRO  COMPLETA</t>
  </si>
  <si>
    <t>000287</t>
  </si>
  <si>
    <t>VALVULA D 2  HG D HIERRO COMPLETA</t>
  </si>
  <si>
    <t>000289</t>
  </si>
  <si>
    <t>JUNTA DRESSER D 12  HG DE HIERRO CRIOLLA</t>
  </si>
  <si>
    <t>000290</t>
  </si>
  <si>
    <t>JUNTA DRESSER D 8 HG D HIERRO CRIOLLA</t>
  </si>
  <si>
    <t>000296</t>
  </si>
  <si>
    <t>VALVULA D 4 HG D HIERRO COMPLETA</t>
  </si>
  <si>
    <t>000311</t>
  </si>
  <si>
    <t>TOALLA GRANDE DE LIMPIAR</t>
  </si>
  <si>
    <t>000314</t>
  </si>
  <si>
    <t>TEE DE 1 PVC</t>
  </si>
  <si>
    <t>000315</t>
  </si>
  <si>
    <t>LLAVE PASO 1 1/2 PVC</t>
  </si>
  <si>
    <t>000317</t>
  </si>
  <si>
    <t>TALONARIOS FORMULARIO INSTASION DE MEDID</t>
  </si>
  <si>
    <t>000323</t>
  </si>
  <si>
    <t>JUNTA DRESSER D 3 HG D HIERRO CRIOLLA</t>
  </si>
  <si>
    <t>000325</t>
  </si>
  <si>
    <t>CAJA TELESCOPICA</t>
  </si>
  <si>
    <t>000345</t>
  </si>
  <si>
    <t>CAJITA DE PARED 2 * 4  DE METAL</t>
  </si>
  <si>
    <t>000347</t>
  </si>
  <si>
    <t>VARILLA DE CONSTRUSION 3/8</t>
  </si>
  <si>
    <t>000351</t>
  </si>
  <si>
    <t>CODO DE 3 PVC</t>
  </si>
  <si>
    <t>000352</t>
  </si>
  <si>
    <t>TEE DE 3 PVC</t>
  </si>
  <si>
    <t>000353</t>
  </si>
  <si>
    <t>TEE DE 4 PVC</t>
  </si>
  <si>
    <t>000354</t>
  </si>
  <si>
    <t>TAPONES DE 4 PVC</t>
  </si>
  <si>
    <t>000363</t>
  </si>
  <si>
    <t>CODO CURVA DE 3 HG DE HIERRO</t>
  </si>
  <si>
    <t>000370</t>
  </si>
  <si>
    <t>BLOCK DE 6</t>
  </si>
  <si>
    <t>000377</t>
  </si>
  <si>
    <t>ADAPTADORES M DE 1 1/2 PVC</t>
  </si>
  <si>
    <t>000386</t>
  </si>
  <si>
    <t>PAPEL DE BAÑO JUMBO GRANDE</t>
  </si>
  <si>
    <t>000387</t>
  </si>
  <si>
    <t>SELLO MULTIPLE</t>
  </si>
  <si>
    <t>000388</t>
  </si>
  <si>
    <t>FOLDER PLASTICO</t>
  </si>
  <si>
    <t>000392</t>
  </si>
  <si>
    <t>CLAN DE 2 A 3/4 PVC</t>
  </si>
  <si>
    <t>000393</t>
  </si>
  <si>
    <t>CLAN DE 3 A 3/4 PVC</t>
  </si>
  <si>
    <t>000394</t>
  </si>
  <si>
    <t>CLAN DE 4 A 3/4 PVC</t>
  </si>
  <si>
    <t>000396</t>
  </si>
  <si>
    <t>TUBOS SEMI PRESION DE 6 PVC</t>
  </si>
  <si>
    <t>000397</t>
  </si>
  <si>
    <t>TUBOS SEMI PRESION DE 8 PVC</t>
  </si>
  <si>
    <t>000398</t>
  </si>
  <si>
    <t>TALONARIOS REVISION DEL CLIENTE</t>
  </si>
  <si>
    <t>000401</t>
  </si>
  <si>
    <t>MARCADORES GRUESO PERMANENTE STABILO</t>
  </si>
  <si>
    <t>000413</t>
  </si>
  <si>
    <t>UNIONES UNIVERSALES DE 1/2 PVC</t>
  </si>
  <si>
    <t>000414</t>
  </si>
  <si>
    <t>UNIONES UNIVERSALES DE 3/4 PVC</t>
  </si>
  <si>
    <t>000421</t>
  </si>
  <si>
    <t>PAQUETE FUNDA 28 * 35</t>
  </si>
  <si>
    <t>000424</t>
  </si>
  <si>
    <t>TINTA GOTERO</t>
  </si>
  <si>
    <t>000433</t>
  </si>
  <si>
    <t>TALONARIOS SOLICITUD DE SERVICIO VIEJO</t>
  </si>
  <si>
    <t>000437</t>
  </si>
  <si>
    <t>TUBOS SEMI PRESION DE 4 PVC</t>
  </si>
  <si>
    <t>000443</t>
  </si>
  <si>
    <t>CEMENTO TANGIT DE 475ML PVC</t>
  </si>
  <si>
    <t>000451</t>
  </si>
  <si>
    <t>CABLE SUMERGIBLE PLANO AMARILLO 6/4 PIE</t>
  </si>
  <si>
    <t>000471</t>
  </si>
  <si>
    <t>CANALETAS DE 3/4</t>
  </si>
  <si>
    <t>000478</t>
  </si>
  <si>
    <t>PORTA ROLO</t>
  </si>
  <si>
    <t>000485</t>
  </si>
  <si>
    <t>PALA DE CORTE</t>
  </si>
  <si>
    <t>000497</t>
  </si>
  <si>
    <t>BOTA  DE GOMA N.44 PARES</t>
  </si>
  <si>
    <t>000499</t>
  </si>
  <si>
    <t>GUANTES INDUSTRIALES  - PARES -</t>
  </si>
  <si>
    <t>000501</t>
  </si>
  <si>
    <t>BALANCIN P/INODORO</t>
  </si>
  <si>
    <t>000504</t>
  </si>
  <si>
    <t>BOTA N.42</t>
  </si>
  <si>
    <t>000511</t>
  </si>
  <si>
    <t>MASCARA DE BOCA</t>
  </si>
  <si>
    <t>000515</t>
  </si>
  <si>
    <t>VALVULA P/INODORO</t>
  </si>
  <si>
    <t>000517</t>
  </si>
  <si>
    <t>GALON DE AGUA</t>
  </si>
  <si>
    <t>000531</t>
  </si>
  <si>
    <t>GRAPA P/CABLE DE ACERO DE 1/4</t>
  </si>
  <si>
    <t>000538</t>
  </si>
  <si>
    <t>LLAVE PASO DE 1/2 PVC</t>
  </si>
  <si>
    <t>000539</t>
  </si>
  <si>
    <t>TEE DE 2 PVC</t>
  </si>
  <si>
    <t>000541</t>
  </si>
  <si>
    <t>TEE DE HIERRO HG DE 3</t>
  </si>
  <si>
    <t>000559</t>
  </si>
  <si>
    <t xml:space="preserve">CASCO PROTECTOR </t>
  </si>
  <si>
    <t>000560</t>
  </si>
  <si>
    <t xml:space="preserve">CHALECO PROTECTOR </t>
  </si>
  <si>
    <t>000561</t>
  </si>
  <si>
    <t>BOTA DE GOMA N.43</t>
  </si>
  <si>
    <t>000571</t>
  </si>
  <si>
    <t>VALVULA D/MARIPOSA DE 3 PULGADA</t>
  </si>
  <si>
    <t>000572</t>
  </si>
  <si>
    <t>REDUCIONES DE 3 A 2 PVC</t>
  </si>
  <si>
    <t>000584</t>
  </si>
  <si>
    <t>TAPONES DE 6 PVC</t>
  </si>
  <si>
    <t>000595</t>
  </si>
  <si>
    <t xml:space="preserve">TUERCAS DE 1/2 </t>
  </si>
  <si>
    <t>000603</t>
  </si>
  <si>
    <t>FAJA DE OBRERO</t>
  </si>
  <si>
    <t>000604</t>
  </si>
  <si>
    <t>GUANTES P/OBRERO  -  PARES -</t>
  </si>
  <si>
    <t>000607</t>
  </si>
  <si>
    <t>CINTA DE PRECAUSION</t>
  </si>
  <si>
    <t>000611</t>
  </si>
  <si>
    <t>BREAKE FINO DE 20 AMPARE</t>
  </si>
  <si>
    <t>000613</t>
  </si>
  <si>
    <t>JUNTA DRESSER HG DE 24" CRIOLLA</t>
  </si>
  <si>
    <t>000623</t>
  </si>
  <si>
    <t>CABLE SUMERGIBLE PLANO AMARILLO #10/4 (6</t>
  </si>
  <si>
    <t>000630</t>
  </si>
  <si>
    <t>JUNTA DRESSER DE 3 PVC</t>
  </si>
  <si>
    <t>000632</t>
  </si>
  <si>
    <t xml:space="preserve">TUBOS FLORESENTE 32WAT OSRAM </t>
  </si>
  <si>
    <t>000637</t>
  </si>
  <si>
    <t>TOLA DE 1/8 * 4   LISA</t>
  </si>
  <si>
    <t>000662</t>
  </si>
  <si>
    <t>ARANDELAS DE 1/2 LIBRA</t>
  </si>
  <si>
    <t>000666</t>
  </si>
  <si>
    <t>SACOS DE SULFATO DE ALUMINIO DE 25KG</t>
  </si>
  <si>
    <t>000671</t>
  </si>
  <si>
    <t>JUNTA DRESSER DE 16  HG DE HIERRO CRIOLL</t>
  </si>
  <si>
    <t>000673</t>
  </si>
  <si>
    <t>TALONARIOS DE SOLICITUD DE SERVICIO NUEV</t>
  </si>
  <si>
    <t>000676</t>
  </si>
  <si>
    <t>ADAPTADORES M DE 1 PVC</t>
  </si>
  <si>
    <t>000677</t>
  </si>
  <si>
    <t>BARRA ROSCADA 5/8 GRANDE</t>
  </si>
  <si>
    <t>000678</t>
  </si>
  <si>
    <t>MANGUERA P/ LAVA MANO</t>
  </si>
  <si>
    <t>000679</t>
  </si>
  <si>
    <t>MANGUERA P/ INODORO</t>
  </si>
  <si>
    <t>000681</t>
  </si>
  <si>
    <t xml:space="preserve">CHEQUE HORIZONTAL DE 3/4 </t>
  </si>
  <si>
    <t>000683</t>
  </si>
  <si>
    <t>BRAZO HIDRAULICO P/ PUERTA</t>
  </si>
  <si>
    <t>000686</t>
  </si>
  <si>
    <t>CLAN  DE 6 A 3/4  PVC</t>
  </si>
  <si>
    <t>000691</t>
  </si>
  <si>
    <t>PINZA  P/ SOLDAR</t>
  </si>
  <si>
    <t>000692</t>
  </si>
  <si>
    <t xml:space="preserve">NIPLE DE 1/2 * 3 </t>
  </si>
  <si>
    <t>000693</t>
  </si>
  <si>
    <t>LLAVE ANGULAR DE 1/2</t>
  </si>
  <si>
    <t>000694</t>
  </si>
  <si>
    <t>JUNTA DE CERA P/ INODORO</t>
  </si>
  <si>
    <t>000695</t>
  </si>
  <si>
    <t>PAR DE TORNILLO TANQUE P/INODORO</t>
  </si>
  <si>
    <t>000701</t>
  </si>
  <si>
    <t>CARPETA DE 2 PULGADA C/ ALGOLLA</t>
  </si>
  <si>
    <t>000705</t>
  </si>
  <si>
    <t>SET DE BANDEJA PLASTICA P/ ESCRITORIO</t>
  </si>
  <si>
    <t>000710</t>
  </si>
  <si>
    <t>TALONARIOS CAJA CHICA PLANTA LA DURA</t>
  </si>
  <si>
    <t>000711</t>
  </si>
  <si>
    <t>SIFON SENCILLO</t>
  </si>
  <si>
    <t>000712</t>
  </si>
  <si>
    <t>BOQUILLA P/ LAVAMANO</t>
  </si>
  <si>
    <t>000714</t>
  </si>
  <si>
    <t>LLAVE P/ ORINAL</t>
  </si>
  <si>
    <t>000718</t>
  </si>
  <si>
    <t>CINTA EPSON S015631 LX-350 ORIGINAL</t>
  </si>
  <si>
    <t>000725</t>
  </si>
  <si>
    <t>CANALETAS DE 1</t>
  </si>
  <si>
    <t>000726</t>
  </si>
  <si>
    <t xml:space="preserve">VALVULA P/ SISTERNA DE 3/4 </t>
  </si>
  <si>
    <t>000741</t>
  </si>
  <si>
    <t>GALON JABON LIQUIDO</t>
  </si>
  <si>
    <t>000742</t>
  </si>
  <si>
    <t>DISPENSADOR MANITA LIMPIA</t>
  </si>
  <si>
    <t>000757</t>
  </si>
  <si>
    <t>BOMBILLO DE 8W</t>
  </si>
  <si>
    <t>000780</t>
  </si>
  <si>
    <t xml:space="preserve">BROCHA DE  2 </t>
  </si>
  <si>
    <t>000792</t>
  </si>
  <si>
    <t>MECHA DE 1/4 DE PARED</t>
  </si>
  <si>
    <t>000796</t>
  </si>
  <si>
    <t>MECHA DE 1 DE PARED</t>
  </si>
  <si>
    <t>000803</t>
  </si>
  <si>
    <t>MECHA 3/8 DE PARED</t>
  </si>
  <si>
    <t>000804</t>
  </si>
  <si>
    <t>MECHA 1/2 DE PARED</t>
  </si>
  <si>
    <t>000810</t>
  </si>
  <si>
    <t>MANOMETRO C/ GLICERINA DE 0-900</t>
  </si>
  <si>
    <t>000844</t>
  </si>
  <si>
    <t xml:space="preserve">CABLE SUMERGIBLE PLANO AMARILLO N.8/4 - </t>
  </si>
  <si>
    <t>000856</t>
  </si>
  <si>
    <t>BREAKE DE 30 AMPERE</t>
  </si>
  <si>
    <t>000859</t>
  </si>
  <si>
    <t>PALA REDONDA GRANDE</t>
  </si>
  <si>
    <t>000861</t>
  </si>
  <si>
    <t>TALADRO</t>
  </si>
  <si>
    <t>000866</t>
  </si>
  <si>
    <t>ALICATE DE PRESION</t>
  </si>
  <si>
    <t>000869</t>
  </si>
  <si>
    <t>LLAVE  P/ LAVA MANO  MESCLADO</t>
  </si>
  <si>
    <t>000874</t>
  </si>
  <si>
    <t>MANDARRIA DE 6 LIBRA</t>
  </si>
  <si>
    <t>000890</t>
  </si>
  <si>
    <t>ABRAZADERA D 3  P/MANGUERA D CAMION D AG</t>
  </si>
  <si>
    <t>000896</t>
  </si>
  <si>
    <t>GEL, MANITA LIMPIA</t>
  </si>
  <si>
    <t>000897</t>
  </si>
  <si>
    <t>TERMOMETRO A DISTANCIA</t>
  </si>
  <si>
    <t>000908</t>
  </si>
  <si>
    <t>JUNTA DE 20 HG CRIOLLA</t>
  </si>
  <si>
    <t>000913</t>
  </si>
  <si>
    <t>CARETA DE SOLDAR</t>
  </si>
  <si>
    <t>000914</t>
  </si>
  <si>
    <t>ARNETDE SEGURIDAD</t>
  </si>
  <si>
    <t>000918</t>
  </si>
  <si>
    <t>RASTRILLO</t>
  </si>
  <si>
    <t>000919</t>
  </si>
  <si>
    <t>CARRETILLA TRUPER</t>
  </si>
  <si>
    <t>000922</t>
  </si>
  <si>
    <t>VINAGRA PARA FURMIGAR</t>
  </si>
  <si>
    <t>000927</t>
  </si>
  <si>
    <t>RG ADAPT PE A RM 63*2 E</t>
  </si>
  <si>
    <t>000928</t>
  </si>
  <si>
    <t>RG ADAPT PE A RH 63*2 E</t>
  </si>
  <si>
    <t>000930</t>
  </si>
  <si>
    <t>TAPE PLASTICO</t>
  </si>
  <si>
    <t>000931</t>
  </si>
  <si>
    <t>TUBERIA POLIETILENO 4 ATM 63MM E</t>
  </si>
  <si>
    <t>000945</t>
  </si>
  <si>
    <t>VALVULA MARIPOSA  COMPLETO10</t>
  </si>
  <si>
    <t>000954</t>
  </si>
  <si>
    <t>TUBO PVC SDR 26 CON JUNTA DE GOMA 16</t>
  </si>
  <si>
    <t>000955</t>
  </si>
  <si>
    <t>TUBO PVC SDR 26 CON JUNTA DE GOMA DE 20</t>
  </si>
  <si>
    <t>000959</t>
  </si>
  <si>
    <t xml:space="preserve">TUBO DE HIERRO NEGRO DE 6 </t>
  </si>
  <si>
    <t>000961</t>
  </si>
  <si>
    <t>TUBO DE PVC SDR 41 DE 8</t>
  </si>
  <si>
    <t>000966</t>
  </si>
  <si>
    <t>MALLA PLASTICA DE SEGURIDAD 48"X 100FT</t>
  </si>
  <si>
    <t>000973</t>
  </si>
  <si>
    <t xml:space="preserve">MEDIDORE DE AGUA DE TIPO MAGNUN 1 MARCA </t>
  </si>
  <si>
    <t>000977</t>
  </si>
  <si>
    <t>CLIP TIPO YOYO PARA CARNET NEGRO</t>
  </si>
  <si>
    <t>001009</t>
  </si>
  <si>
    <t xml:space="preserve">TAPA ALCANTARILLADO REDONDA C 250EN 124 </t>
  </si>
  <si>
    <t>001010</t>
  </si>
  <si>
    <t xml:space="preserve">TAPA PARA REGISTRO EN FIBRA DE VIDRIO Y </t>
  </si>
  <si>
    <t>001013</t>
  </si>
  <si>
    <t>LAPICERO ROJO</t>
  </si>
  <si>
    <t>001017</t>
  </si>
  <si>
    <t>GRECAS PARA CAFE 12 TAZAS</t>
  </si>
  <si>
    <t>001018</t>
  </si>
  <si>
    <t>PLUMERO PARA LIMPIA</t>
  </si>
  <si>
    <t>001019</t>
  </si>
  <si>
    <t>RECOGEDOR DE BASURA</t>
  </si>
  <si>
    <t>001020</t>
  </si>
  <si>
    <t>CEPILLO DE MANO PARA PARE</t>
  </si>
  <si>
    <t>001044</t>
  </si>
  <si>
    <t>CABLE VGA AGILER 6 PIES NEGRO AGI-134IM</t>
  </si>
  <si>
    <t>001045</t>
  </si>
  <si>
    <t>CABLE DE PODER AGILER NEGRO POWER CORD</t>
  </si>
  <si>
    <t>001047</t>
  </si>
  <si>
    <t>CEMENTO TANGIT PVC CHIQUITO 240</t>
  </si>
  <si>
    <t>001050</t>
  </si>
  <si>
    <t>CUBO PARA LIMPIAR</t>
  </si>
  <si>
    <t>001063</t>
  </si>
  <si>
    <t>VALVULAS DE BOLA DE 1</t>
  </si>
  <si>
    <t>001064</t>
  </si>
  <si>
    <t>VENTOSAS DE HIERRO DE 3/4</t>
  </si>
  <si>
    <t>001067</t>
  </si>
  <si>
    <t>VALVULAS CHECK HORIZONTAL DE 4</t>
  </si>
  <si>
    <t>001073</t>
  </si>
  <si>
    <t>VALVULA DE BOLA GENEBRE DE 2</t>
  </si>
  <si>
    <t>001074</t>
  </si>
  <si>
    <t>UNION UNIVERSAL NEGRA DE 2</t>
  </si>
  <si>
    <t>001088</t>
  </si>
  <si>
    <t xml:space="preserve">PALA CUADRA </t>
  </si>
  <si>
    <t>001092</t>
  </si>
  <si>
    <t>CERADURA EN BRONCE</t>
  </si>
  <si>
    <t>001093</t>
  </si>
  <si>
    <t>PANEL DE  DISTRIBUCION 4 A 89</t>
  </si>
  <si>
    <t>001097</t>
  </si>
  <si>
    <t>PUENTE DE BATERIA DE 1 PIEZ</t>
  </si>
  <si>
    <t>001098</t>
  </si>
  <si>
    <t>PUENTE BATERIA DE 3 PIEZ</t>
  </si>
  <si>
    <t>001101</t>
  </si>
  <si>
    <t>BREAKE DE 60 AMPARE</t>
  </si>
  <si>
    <t>001107</t>
  </si>
  <si>
    <t xml:space="preserve">ROSETA PORCELENA </t>
  </si>
  <si>
    <t>001108</t>
  </si>
  <si>
    <t>TARUGOS 14*2 VERDE</t>
  </si>
  <si>
    <t>001109</t>
  </si>
  <si>
    <t>TARUGO PLASTICO 3/8*2</t>
  </si>
  <si>
    <t>001115</t>
  </si>
  <si>
    <t>TYRRAP DE 12</t>
  </si>
  <si>
    <t>001118</t>
  </si>
  <si>
    <t>ADAPTADORE H DE 3 PVC</t>
  </si>
  <si>
    <t>001120</t>
  </si>
  <si>
    <t>REDUCCIONES DE 2 A 1/2 PVC</t>
  </si>
  <si>
    <t>001121</t>
  </si>
  <si>
    <t xml:space="preserve">REDUCCIONES DE 4 A 2 </t>
  </si>
  <si>
    <t>001122</t>
  </si>
  <si>
    <t>REDUCCIONES DE 2 A 3/4</t>
  </si>
  <si>
    <t>001123</t>
  </si>
  <si>
    <t>CLAN HG DE 6 A 1/2</t>
  </si>
  <si>
    <t>001124</t>
  </si>
  <si>
    <t>CLAN HG  DE 6 A 3/4</t>
  </si>
  <si>
    <t>001127</t>
  </si>
  <si>
    <t>NIPLE DE 1/2*12 PVC</t>
  </si>
  <si>
    <t>001128</t>
  </si>
  <si>
    <t>NIPLE DE 1*12</t>
  </si>
  <si>
    <t>001130</t>
  </si>
  <si>
    <t>NIPLE DE 4 *12</t>
  </si>
  <si>
    <t>001132</t>
  </si>
  <si>
    <t>NIPLE 1/2*6</t>
  </si>
  <si>
    <t>001133</t>
  </si>
  <si>
    <t>NIPLE DE 2*6</t>
  </si>
  <si>
    <t>001134</t>
  </si>
  <si>
    <t>NIPLE DE 3*6</t>
  </si>
  <si>
    <t>001135</t>
  </si>
  <si>
    <t>NIPLE 3/4*6</t>
  </si>
  <si>
    <t>001136</t>
  </si>
  <si>
    <t>NIPLES 4*6</t>
  </si>
  <si>
    <t>001137</t>
  </si>
  <si>
    <t>LLAVE DE CHORRO DE 1/2</t>
  </si>
  <si>
    <t>001141</t>
  </si>
  <si>
    <t>LLAVE ANGULA DE 3/8</t>
  </si>
  <si>
    <t>001142</t>
  </si>
  <si>
    <t>LLAVE DE PASO AZUL PVC DE 3/4</t>
  </si>
  <si>
    <t>001143</t>
  </si>
  <si>
    <t>BOQUILLA PARA FREGADERO</t>
  </si>
  <si>
    <t>001146</t>
  </si>
  <si>
    <t>KIT COMPLETO PARA TANQUE DE INODOROS</t>
  </si>
  <si>
    <t>001147</t>
  </si>
  <si>
    <t>VASTAGO TIPO SAICO PARA LLAVE TEE DE EMP</t>
  </si>
  <si>
    <t>001148</t>
  </si>
  <si>
    <t>DUCHAS   DE 1/2</t>
  </si>
  <si>
    <t>001149</t>
  </si>
  <si>
    <t>CANALETA DE 1/2</t>
  </si>
  <si>
    <t>001153</t>
  </si>
  <si>
    <t>CAJA BREAKER 4 CICUITOS</t>
  </si>
  <si>
    <t>001155</t>
  </si>
  <si>
    <t xml:space="preserve">VARILLA DE COBRE </t>
  </si>
  <si>
    <t>001158</t>
  </si>
  <si>
    <t>LETRERO AMARILLO DE PRECAUCIOM</t>
  </si>
  <si>
    <t>001161</t>
  </si>
  <si>
    <t>DEGRASANTE MULTI USO AB 1/2</t>
  </si>
  <si>
    <t>001166</t>
  </si>
  <si>
    <t>INTERRUPT DOBLE ELITE BLANCO</t>
  </si>
  <si>
    <t>001167</t>
  </si>
  <si>
    <t>INTERRUP TRIPLE ELITE BLANCO</t>
  </si>
  <si>
    <t>001169</t>
  </si>
  <si>
    <t>ALAMBRE 10 THHN AMERICANO</t>
  </si>
  <si>
    <t>001175</t>
  </si>
  <si>
    <t>TUBO 1/2 PVC SDR 26 ELECTRICO</t>
  </si>
  <si>
    <t>001178</t>
  </si>
  <si>
    <t>BISAGRA DE 8 PULGADA PAR</t>
  </si>
  <si>
    <t>001196</t>
  </si>
  <si>
    <t>CODO HG DE 2*90</t>
  </si>
  <si>
    <t>001197</t>
  </si>
  <si>
    <t>CODO HG DE 3*90</t>
  </si>
  <si>
    <t>001198</t>
  </si>
  <si>
    <t>CODO HG DE 4*90</t>
  </si>
  <si>
    <t>001201</t>
  </si>
  <si>
    <t>ADAPTADORE M PVC DE 3</t>
  </si>
  <si>
    <t>001202</t>
  </si>
  <si>
    <t>ADAPTADORE H DE PVC DE 1</t>
  </si>
  <si>
    <t>001203</t>
  </si>
  <si>
    <t>ADAPTADORE H PVC DE 2</t>
  </si>
  <si>
    <t>001204</t>
  </si>
  <si>
    <t>REDUCCION PVC DE 3A 2</t>
  </si>
  <si>
    <t>001205</t>
  </si>
  <si>
    <t>LLAVE MECANICA COMBINADA 6</t>
  </si>
  <si>
    <t>001206</t>
  </si>
  <si>
    <t>LLAVE MECANICA COMBINADA 8</t>
  </si>
  <si>
    <t>001207</t>
  </si>
  <si>
    <t>LLAVE  MECANICA  COMBINADA 10</t>
  </si>
  <si>
    <t>001208</t>
  </si>
  <si>
    <t>LLAVE MECANICA COMBINADA 12</t>
  </si>
  <si>
    <t>001210</t>
  </si>
  <si>
    <t>LLAVE MECANICA COMBINADA 17</t>
  </si>
  <si>
    <t>001213</t>
  </si>
  <si>
    <t>TEE PVC DRENAJE 1 1/2</t>
  </si>
  <si>
    <t>001214</t>
  </si>
  <si>
    <t>LLAVE MEZCLADA DE LAVAMANOS</t>
  </si>
  <si>
    <t>001215</t>
  </si>
  <si>
    <t>LLAVE SENCILLA PARA LAVAMANO</t>
  </si>
  <si>
    <t>001217</t>
  </si>
  <si>
    <t xml:space="preserve">LAVAMANO BLANCO SENCILLO </t>
  </si>
  <si>
    <t>001218</t>
  </si>
  <si>
    <t>INODORO COMPLETO BLANCO SENCILLO</t>
  </si>
  <si>
    <t>001219</t>
  </si>
  <si>
    <t>PARRILLA DE PISO 1 1/2</t>
  </si>
  <si>
    <t>001220</t>
  </si>
  <si>
    <t>PUÑO DE BAÑO T SAYCO</t>
  </si>
  <si>
    <t>001221</t>
  </si>
  <si>
    <t xml:space="preserve">SILICONE TRAPARENTE DE PISTOLA </t>
  </si>
  <si>
    <t>001223</t>
  </si>
  <si>
    <t xml:space="preserve">PAR DE PALOMETA PARA LAVAMANO </t>
  </si>
  <si>
    <t>001224</t>
  </si>
  <si>
    <t>SIFON SENCILLO LAVAMANO</t>
  </si>
  <si>
    <t>001225</t>
  </si>
  <si>
    <t xml:space="preserve">VASTAGO GENERICO LAVAMANO T/SAYCO </t>
  </si>
  <si>
    <t>001226</t>
  </si>
  <si>
    <t>TAPA PARA TANQUE DE INODORO SENCILLO</t>
  </si>
  <si>
    <t>001227</t>
  </si>
  <si>
    <t>NIPLE HG DE 2*12</t>
  </si>
  <si>
    <t>001228</t>
  </si>
  <si>
    <t>NIPLE HG DE 3*12</t>
  </si>
  <si>
    <t>001229</t>
  </si>
  <si>
    <t>CAJA DE TUBO DE 17 W</t>
  </si>
  <si>
    <t>001230</t>
  </si>
  <si>
    <t>OJO BUEY DE 50 W COM LUS BLANCA</t>
  </si>
  <si>
    <t>001231</t>
  </si>
  <si>
    <t>OJO BUEY DE 50 W CON LUS AMARILLA</t>
  </si>
  <si>
    <t>001234</t>
  </si>
  <si>
    <t xml:space="preserve">COLITA </t>
  </si>
  <si>
    <t>001235</t>
  </si>
  <si>
    <t>TIJERA P JARDIN</t>
  </si>
  <si>
    <t>001240</t>
  </si>
  <si>
    <t>LAMPARA LED REDONDA 18W BLANCA</t>
  </si>
  <si>
    <t>001248</t>
  </si>
  <si>
    <t>CANALETA DE PISO 10 PIES</t>
  </si>
  <si>
    <t>001250</t>
  </si>
  <si>
    <t>BREAKE FINO 30 AMP</t>
  </si>
  <si>
    <t>001274</t>
  </si>
  <si>
    <t>ALAMBRE VINIL 14/3 PIE</t>
  </si>
  <si>
    <t>001278</t>
  </si>
  <si>
    <t>TUBO DE HIERRO NEGRO DE 2</t>
  </si>
  <si>
    <t>001287</t>
  </si>
  <si>
    <t>ABRAZADERA INISTRUTDE DEV 1 1/2</t>
  </si>
  <si>
    <t>001291</t>
  </si>
  <si>
    <t>TERMINALES TIPO OJO PARA CABLE</t>
  </si>
  <si>
    <t>001295</t>
  </si>
  <si>
    <t>CONTACTOR TRFASICO A 230 V SC3</t>
  </si>
  <si>
    <t>001302</t>
  </si>
  <si>
    <t>CAJA ELECTRICA REFORZADA DE 2*4 CON ORIF</t>
  </si>
  <si>
    <t>001305</t>
  </si>
  <si>
    <t>INTERRUPTO SIMPLE</t>
  </si>
  <si>
    <t>001318</t>
  </si>
  <si>
    <t>BREAKERS TIPO DOBLE 15A</t>
  </si>
  <si>
    <t>001321</t>
  </si>
  <si>
    <t>ABRAZADERA DE 2</t>
  </si>
  <si>
    <t>001329</t>
  </si>
  <si>
    <t>TAPE DE GOMA</t>
  </si>
  <si>
    <t>001346</t>
  </si>
  <si>
    <t>TEE HG DE 2</t>
  </si>
  <si>
    <t>001348</t>
  </si>
  <si>
    <t>ADAPTADOR H PVC DE 1 1/2</t>
  </si>
  <si>
    <t>001364</t>
  </si>
  <si>
    <t>BASE DE 8 PIN PARA CONTROL</t>
  </si>
  <si>
    <t>001398</t>
  </si>
  <si>
    <t>UNIOM UNIVESAL HN DE 2</t>
  </si>
  <si>
    <t>001416</t>
  </si>
  <si>
    <t xml:space="preserve">AMBIANTADOR P DISPENSADOR GLADE </t>
  </si>
  <si>
    <t>001418</t>
  </si>
  <si>
    <t>PAPEL TOALLA ROLLO</t>
  </si>
  <si>
    <t>001426</t>
  </si>
  <si>
    <t>TORNILLO AC HEX TUERCA GRS 1/2*1</t>
  </si>
  <si>
    <t>001427</t>
  </si>
  <si>
    <t>TORNILLO AC HEX TUERCA GRIS 1/2*3</t>
  </si>
  <si>
    <t>001428</t>
  </si>
  <si>
    <t>TORNILLO AC HEX TUERCA GRS 1/2*4</t>
  </si>
  <si>
    <t>001430</t>
  </si>
  <si>
    <t>ARANDELA PLANA  DE 3/4</t>
  </si>
  <si>
    <t>001432</t>
  </si>
  <si>
    <t>PLANCHUELA 3/6*1-1/2</t>
  </si>
  <si>
    <t>001433</t>
  </si>
  <si>
    <t>CODO GALV DE 1</t>
  </si>
  <si>
    <t>001434</t>
  </si>
  <si>
    <t>CODO GALV DE 1/2</t>
  </si>
  <si>
    <t>001435</t>
  </si>
  <si>
    <t>CODO GALV DE 2</t>
  </si>
  <si>
    <t>001439</t>
  </si>
  <si>
    <t>TEE GALV DE 3</t>
  </si>
  <si>
    <t>001440</t>
  </si>
  <si>
    <t>TEE GALV DE 4</t>
  </si>
  <si>
    <t>001443</t>
  </si>
  <si>
    <t>NIPLE GALV DE 3/4*12</t>
  </si>
  <si>
    <t>001445</t>
  </si>
  <si>
    <t>NIPLE GALV DE 1*6</t>
  </si>
  <si>
    <t>001447</t>
  </si>
  <si>
    <t>NIPLE GALV 2*6</t>
  </si>
  <si>
    <t>001448</t>
  </si>
  <si>
    <t>NIPLE GALV DE 3*6</t>
  </si>
  <si>
    <t>001449</t>
  </si>
  <si>
    <t>NIPLE GALV 3/4*6</t>
  </si>
  <si>
    <t>001455</t>
  </si>
  <si>
    <t>PLANCHUELA 1/8*1</t>
  </si>
  <si>
    <t>001458</t>
  </si>
  <si>
    <t>BREAKERS GRUESO DE 60 AMPERES DOBLE</t>
  </si>
  <si>
    <t>001460</t>
  </si>
  <si>
    <t>LETRA LB PARA TUBO MT</t>
  </si>
  <si>
    <t>001461</t>
  </si>
  <si>
    <t>LETRA LL PARA TUBO MT</t>
  </si>
  <si>
    <t>001464</t>
  </si>
  <si>
    <t xml:space="preserve">TORNILLO DIABLITO DE 1 1/2 </t>
  </si>
  <si>
    <t>001467</t>
  </si>
  <si>
    <t>TORNILLO DIABLITO DE 2</t>
  </si>
  <si>
    <t>001470</t>
  </si>
  <si>
    <t>BISAGRA SODABLE DE ACERO</t>
  </si>
  <si>
    <t>001482</t>
  </si>
  <si>
    <t>BARRA ROSCADA 3/4</t>
  </si>
  <si>
    <t>001487</t>
  </si>
  <si>
    <t>CODO DE 6</t>
  </si>
  <si>
    <t>001488</t>
  </si>
  <si>
    <t>TUBO DE 4 HN</t>
  </si>
  <si>
    <t>001489</t>
  </si>
  <si>
    <t>TUBO DE 8 HN</t>
  </si>
  <si>
    <t>001490</t>
  </si>
  <si>
    <t>TUBO DE 16 HN</t>
  </si>
  <si>
    <t>001491</t>
  </si>
  <si>
    <t>TUBO DE 3 HN</t>
  </si>
  <si>
    <t>001492</t>
  </si>
  <si>
    <t>ROLLO DE CONDUFLEX DE 3/4</t>
  </si>
  <si>
    <t>001499</t>
  </si>
  <si>
    <t>CERRADURA DE ANCLAJE A PISO PARA CRISTAL</t>
  </si>
  <si>
    <t>001500</t>
  </si>
  <si>
    <t xml:space="preserve">CERRADURA REDONDA PARA PUERTA DE CRITAL </t>
  </si>
  <si>
    <t>001505</t>
  </si>
  <si>
    <t>ESCUADRA</t>
  </si>
  <si>
    <t>001526</t>
  </si>
  <si>
    <t>TUBO PVC 6 SDR 41 AGUA RES.</t>
  </si>
  <si>
    <t>001527</t>
  </si>
  <si>
    <t xml:space="preserve"> VARILLA DE 1/2</t>
  </si>
  <si>
    <t>001532</t>
  </si>
  <si>
    <t xml:space="preserve">HIDRANTE DE 4" CON ROSCAS, 2 SALIDAS DE </t>
  </si>
  <si>
    <t>001535</t>
  </si>
  <si>
    <t xml:space="preserve">BREAKERS FINO DE 30 AMPERES DOBLE </t>
  </si>
  <si>
    <t>001549</t>
  </si>
  <si>
    <t xml:space="preserve">RESMA DE HOJA TIMBRA 8 1/2X11 </t>
  </si>
  <si>
    <t>001554</t>
  </si>
  <si>
    <t>CLORO TRICLORO PASTILLAS 90% TARRO (250/</t>
  </si>
  <si>
    <t>001560</t>
  </si>
  <si>
    <t>TARUGO EXPANS. C/TORN. 5/16X2 1/2 M8</t>
  </si>
  <si>
    <t>001562</t>
  </si>
  <si>
    <t>TUERCA 5/8 R/GRUESA NC</t>
  </si>
  <si>
    <t>001564</t>
  </si>
  <si>
    <t>GARRAFON DE CLORO 2.5 GL</t>
  </si>
  <si>
    <t>001565</t>
  </si>
  <si>
    <t>DESINFECTANTE GL</t>
  </si>
  <si>
    <t>001582</t>
  </si>
  <si>
    <t xml:space="preserve">TUERKA HKXG 1/2 </t>
  </si>
  <si>
    <t>001623</t>
  </si>
  <si>
    <t>TUBO PVC SDR 26 CON JUNTA DE GOMA 10</t>
  </si>
  <si>
    <t>001626</t>
  </si>
  <si>
    <t>LIMPIADOR DE ECO BLUE</t>
  </si>
  <si>
    <t>001627</t>
  </si>
  <si>
    <t>ACEITE TANQUE KENDALL 15W-40 SUPER D-3 S</t>
  </si>
  <si>
    <t>001628</t>
  </si>
  <si>
    <t>GOMAS 205-14-8L MAXXIS MCV5 8PR TL 109/1</t>
  </si>
  <si>
    <t>001629</t>
  </si>
  <si>
    <t>COOLANT STAR COOL</t>
  </si>
  <si>
    <t>001645</t>
  </si>
  <si>
    <t>TOMACORRIENTE  DOBLE MODUS BTICINO</t>
  </si>
  <si>
    <t>001647</t>
  </si>
  <si>
    <t>ALAMBRE #12 THHN AMERICANO</t>
  </si>
  <si>
    <t>001705</t>
  </si>
  <si>
    <t xml:space="preserve">VALVULA DE ENTRADA </t>
  </si>
  <si>
    <t>001706</t>
  </si>
  <si>
    <t>PERA P/INODORO AZUL</t>
  </si>
  <si>
    <t>001707</t>
  </si>
  <si>
    <t xml:space="preserve">LLAVE ANGULAR 3/8X 3/8 </t>
  </si>
  <si>
    <t>001708</t>
  </si>
  <si>
    <t>LLAVE ANGULAR DOBLE 1/2</t>
  </si>
  <si>
    <t>001709</t>
  </si>
  <si>
    <t>LLAVE ANGULAR DOBLE 3/8</t>
  </si>
  <si>
    <t>001710</t>
  </si>
  <si>
    <t>SIFON DOBLE P/FREGADRO EASTMANT</t>
  </si>
  <si>
    <t>001713</t>
  </si>
  <si>
    <t>PUÑO NIBCO GRANDE (BAÑO)</t>
  </si>
  <si>
    <t>001714</t>
  </si>
  <si>
    <t>PUÑO NIBCO URREA PEQUEÑO PARA BAÑO</t>
  </si>
  <si>
    <t>001715</t>
  </si>
  <si>
    <t>LLAVE ANGULAR KARO 1/2X3/8</t>
  </si>
  <si>
    <t>001716</t>
  </si>
  <si>
    <t>VALVULA SALIDA P/INODORO</t>
  </si>
  <si>
    <t>001717</t>
  </si>
  <si>
    <t>CHEQUE VERTICAL 1-1/2</t>
  </si>
  <si>
    <t>001722</t>
  </si>
  <si>
    <t>LIMPIA CRISTALES</t>
  </si>
  <si>
    <t>001723</t>
  </si>
  <si>
    <t>CABEZOTES PLOMO</t>
  </si>
  <si>
    <t>001727</t>
  </si>
  <si>
    <t>NIPLE GALV 1/2 HG</t>
  </si>
  <si>
    <t>001731</t>
  </si>
  <si>
    <t>PLANCHUELA 1 1/4* 3/16</t>
  </si>
  <si>
    <t>001733</t>
  </si>
  <si>
    <t>VISAGRA DE 6" PULGADA PAR</t>
  </si>
  <si>
    <t>001736</t>
  </si>
  <si>
    <t>REDUCCION BUSHING DE 1 A 3/4</t>
  </si>
  <si>
    <t>001739</t>
  </si>
  <si>
    <t>PAQUETE DE CINTA DE AMARRE TIRRAP (25 UN</t>
  </si>
  <si>
    <t>001752</t>
  </si>
  <si>
    <t>TORNILLO PARA CG</t>
  </si>
  <si>
    <t>001762</t>
  </si>
  <si>
    <t>VINAGRE BLANCO</t>
  </si>
  <si>
    <t>001781</t>
  </si>
  <si>
    <t>TORNILLO SHEET ROCK ESTRUC. 6MM X 1 1/4</t>
  </si>
  <si>
    <t>001782</t>
  </si>
  <si>
    <t>TORN ESTRUCTC. TRACKS 7X7M6 GRIP RITE</t>
  </si>
  <si>
    <t>001823</t>
  </si>
  <si>
    <t>MARCADORES DE PIZARRA ROJO</t>
  </si>
  <si>
    <t>001826</t>
  </si>
  <si>
    <t>CAJA DE PAPEL CONTINUO 8.5 X11</t>
  </si>
  <si>
    <t>001828</t>
  </si>
  <si>
    <t>ROLLO DE SUMADORA DE 2 1/4</t>
  </si>
  <si>
    <t>001829</t>
  </si>
  <si>
    <t xml:space="preserve">CAJA DE GRAPAS DE 50 HOJAS </t>
  </si>
  <si>
    <t>001838</t>
  </si>
  <si>
    <t>CEPILLO P/INODORO CON BASE</t>
  </si>
  <si>
    <t>001856</t>
  </si>
  <si>
    <t>BAJANTE DE MADERA 2*3*14</t>
  </si>
  <si>
    <t>001893</t>
  </si>
  <si>
    <t>COPA GALV 1/2"X1/4"</t>
  </si>
  <si>
    <t>001902</t>
  </si>
  <si>
    <t>REDUCCION COPA DE 1/2 A 1/4</t>
  </si>
  <si>
    <t>001904</t>
  </si>
  <si>
    <t>NIPLE HG 2" X 4"</t>
  </si>
  <si>
    <t>001906</t>
  </si>
  <si>
    <t>CHEQUE HORIZONTAL 2"</t>
  </si>
  <si>
    <t>001924</t>
  </si>
  <si>
    <t xml:space="preserve">ID PRO  CON LLAVE USB </t>
  </si>
  <si>
    <t>001928</t>
  </si>
  <si>
    <t xml:space="preserve">CONTROL INTERNO DIARIO PLANTA LA DURA </t>
  </si>
  <si>
    <t>001929</t>
  </si>
  <si>
    <t xml:space="preserve">CARPETAS TROQUELADAS </t>
  </si>
  <si>
    <t>001934</t>
  </si>
  <si>
    <t>LLAVE BOLA PASO PVC SIN ROSCA  1 1/2</t>
  </si>
  <si>
    <t>001935</t>
  </si>
  <si>
    <t xml:space="preserve">LLAVE DE BOLA CON ROSCA PVC 2 </t>
  </si>
  <si>
    <t>001936</t>
  </si>
  <si>
    <t xml:space="preserve">LAVAMANOS PEDESTAL </t>
  </si>
  <si>
    <t>001937</t>
  </si>
  <si>
    <t>BOQUILLA LAVADERO</t>
  </si>
  <si>
    <t>001939</t>
  </si>
  <si>
    <t>SIFON PVC DRENAJE 2 SENCILLO</t>
  </si>
  <si>
    <t>001940</t>
  </si>
  <si>
    <t xml:space="preserve">EPOXI FUSION </t>
  </si>
  <si>
    <t>001951</t>
  </si>
  <si>
    <t>ANILLO COUPLING 1/2</t>
  </si>
  <si>
    <t>001954</t>
  </si>
  <si>
    <t xml:space="preserve">CUTTER NAVAJA </t>
  </si>
  <si>
    <t>001955</t>
  </si>
  <si>
    <t xml:space="preserve">LLANA DE MADERA </t>
  </si>
  <si>
    <t>001961</t>
  </si>
  <si>
    <t>PRENSA 6"</t>
  </si>
  <si>
    <t>001962</t>
  </si>
  <si>
    <t>NIVEL 24"</t>
  </si>
  <si>
    <t>001964</t>
  </si>
  <si>
    <t>MECHA DE 3/16"</t>
  </si>
  <si>
    <t>001965</t>
  </si>
  <si>
    <t>DISCO CORTE 14"</t>
  </si>
  <si>
    <t>001967</t>
  </si>
  <si>
    <t>REMACHADORA 10"</t>
  </si>
  <si>
    <t>001968</t>
  </si>
  <si>
    <t>RASTRILLO METAL</t>
  </si>
  <si>
    <t>001973</t>
  </si>
  <si>
    <t xml:space="preserve">GALON DE PINTURA AZUL ALBA </t>
  </si>
  <si>
    <t>001975</t>
  </si>
  <si>
    <t>GALON DE PINTURA MARMOL SEMIGLOSS</t>
  </si>
  <si>
    <t>001978</t>
  </si>
  <si>
    <t xml:space="preserve">GALON DE PINTURA AZUL ROYAL </t>
  </si>
  <si>
    <t>001979</t>
  </si>
  <si>
    <t xml:space="preserve">GALON DE PINTURA NEGRO MATE ESMALTE </t>
  </si>
  <si>
    <t>001980</t>
  </si>
  <si>
    <t xml:space="preserve">GALON DE PINTURA AZUL POSITIVO </t>
  </si>
  <si>
    <t>001981</t>
  </si>
  <si>
    <t xml:space="preserve">GALON DE PINTURA VERDE POSITIVO </t>
  </si>
  <si>
    <t>001984</t>
  </si>
  <si>
    <t xml:space="preserve">SPRAY PINTURA BLANCO </t>
  </si>
  <si>
    <t>001987</t>
  </si>
  <si>
    <t xml:space="preserve">GALON  DE PINTURA AMARILLO TRAFICO </t>
  </si>
  <si>
    <t>001990</t>
  </si>
  <si>
    <t xml:space="preserve">LLAVE DE PASO PARA INODORO SENCILLA </t>
  </si>
  <si>
    <t>001991</t>
  </si>
  <si>
    <t xml:space="preserve">LLAVE DE PASO PARA INODORO DOBLE </t>
  </si>
  <si>
    <t>001992</t>
  </si>
  <si>
    <t xml:space="preserve">KIT DE SIFON  PARA FREGADERO DOBLE </t>
  </si>
  <si>
    <t>001993</t>
  </si>
  <si>
    <t xml:space="preserve">SELLA TANQUE EPOXICO </t>
  </si>
  <si>
    <t>001994</t>
  </si>
  <si>
    <t xml:space="preserve">LLAVES PARA EMPOTRAR DUCHA </t>
  </si>
  <si>
    <t>001995</t>
  </si>
  <si>
    <t>GRAPA PARA CABLE DE ACERO 1/2</t>
  </si>
  <si>
    <t>001996</t>
  </si>
  <si>
    <t xml:space="preserve">GRAPA PARA CABLE DE ACERO 3/4 </t>
  </si>
  <si>
    <t>002000</t>
  </si>
  <si>
    <t xml:space="preserve">TORNILLO DIABLITO DE 1 </t>
  </si>
  <si>
    <t>002002</t>
  </si>
  <si>
    <t>TORNILLO HEXAGONAL CON TUERCA 5/8*3</t>
  </si>
  <si>
    <t>002003</t>
  </si>
  <si>
    <t>TORNILLO HEXAGONAL  CON TUERCA 5/8*4</t>
  </si>
  <si>
    <t>002004</t>
  </si>
  <si>
    <t xml:space="preserve">TORNILLO HEXAGONAL CON TUERCA 5/16*1 </t>
  </si>
  <si>
    <t>002005</t>
  </si>
  <si>
    <t>TORNILLO HEXAGONAL CON TUERCA 3/4*4</t>
  </si>
  <si>
    <t>002006</t>
  </si>
  <si>
    <t>ANCLAJE DE UÑA CHAPADO EN ZINC 1/2*3</t>
  </si>
  <si>
    <t>002007</t>
  </si>
  <si>
    <t>ANCLAJE DE UÑA CHAPADO EN ZINC 1/2*5 1/2</t>
  </si>
  <si>
    <t>002008</t>
  </si>
  <si>
    <t xml:space="preserve">ANCLAJE DE UÑA CHAPADO EN ZINC 3/8*3 </t>
  </si>
  <si>
    <t>002009</t>
  </si>
  <si>
    <t xml:space="preserve">TIRAFON 5/16*11/2 CABEZA DE LLAVE </t>
  </si>
  <si>
    <t>002010</t>
  </si>
  <si>
    <t xml:space="preserve">TIRAFON 5/16*1 CABEZA DE LLAVE </t>
  </si>
  <si>
    <t>002011</t>
  </si>
  <si>
    <t xml:space="preserve">TIRAFON 3/8 * 11/2 </t>
  </si>
  <si>
    <t>002013</t>
  </si>
  <si>
    <t>TORNILLO TIRAFON 10 POR 1"</t>
  </si>
  <si>
    <t>002014</t>
  </si>
  <si>
    <t xml:space="preserve">TORNILLO TIFON DE 10 A 2" </t>
  </si>
  <si>
    <t>002015</t>
  </si>
  <si>
    <t>TORNILLO TIRAFON 8 DE 2"</t>
  </si>
  <si>
    <t>002016</t>
  </si>
  <si>
    <t>TORNILLO TIRAFON 8 DE 11/2"</t>
  </si>
  <si>
    <t>002017</t>
  </si>
  <si>
    <t xml:space="preserve">TORNILLO TIRAFON 8 DE 1" </t>
  </si>
  <si>
    <t>002018</t>
  </si>
  <si>
    <t>LAMPARA LED DE POSTER CON BASE Y PANEL I</t>
  </si>
  <si>
    <t>002019</t>
  </si>
  <si>
    <t xml:space="preserve">BREAKERS DE 50 APERE FINO </t>
  </si>
  <si>
    <t>002020</t>
  </si>
  <si>
    <t xml:space="preserve">BREAKERS DE 50 APERE GRUESO </t>
  </si>
  <si>
    <t>002025</t>
  </si>
  <si>
    <t>TIRAFON 3/8*1</t>
  </si>
  <si>
    <t>002026</t>
  </si>
  <si>
    <t>TORNILLO TIRAFON 10 DE 11/2</t>
  </si>
  <si>
    <t>002033</t>
  </si>
  <si>
    <t>TUERCA 3/4 INOXIDABLE</t>
  </si>
  <si>
    <t>002035</t>
  </si>
  <si>
    <t xml:space="preserve">PATA DE CHIVO PARA PUERTA </t>
  </si>
  <si>
    <t>002038</t>
  </si>
  <si>
    <t xml:space="preserve">ALAMBRE PICADO </t>
  </si>
  <si>
    <t>002040</t>
  </si>
  <si>
    <t>TUBO GALV MALLA 1.15 MM 1-1/2</t>
  </si>
  <si>
    <t>002045</t>
  </si>
  <si>
    <t>ABRAZADERA EMT 3</t>
  </si>
  <si>
    <t>002046</t>
  </si>
  <si>
    <t>TORNILLO PASANTE 5/8 X 10</t>
  </si>
  <si>
    <t>002048</t>
  </si>
  <si>
    <t>TUBO HG 12"</t>
  </si>
  <si>
    <t>002054</t>
  </si>
  <si>
    <t>TUBO ACERO 10"</t>
  </si>
  <si>
    <t>002055</t>
  </si>
  <si>
    <t>TUBO DE ACERO 24"</t>
  </si>
  <si>
    <t>002058</t>
  </si>
  <si>
    <t xml:space="preserve">LENTES DE SEGURIDAD </t>
  </si>
  <si>
    <t>002061</t>
  </si>
  <si>
    <t>CINTA ANTIDESLIZANTE NEGRA 50MM</t>
  </si>
  <si>
    <t>002062</t>
  </si>
  <si>
    <t xml:space="preserve">TANGIT 475 CONDUIT MICROMEDICION </t>
  </si>
  <si>
    <t>002063</t>
  </si>
  <si>
    <t xml:space="preserve">TANGIT 240 ML CONDUIT MICROMEDICION </t>
  </si>
  <si>
    <t>002065</t>
  </si>
  <si>
    <t xml:space="preserve">FILTRO REOPUESTO DE MASCARILLA </t>
  </si>
  <si>
    <t>002072</t>
  </si>
  <si>
    <t>TUBO ACERO 20"</t>
  </si>
  <si>
    <t>002100</t>
  </si>
  <si>
    <t xml:space="preserve">LLAVE STILSON 8 </t>
  </si>
  <si>
    <t>002101</t>
  </si>
  <si>
    <t xml:space="preserve">CINCEL PARA MARTILLO DEMOLEDOR </t>
  </si>
  <si>
    <t>002102</t>
  </si>
  <si>
    <t>CIZALLA 12"</t>
  </si>
  <si>
    <t>002103</t>
  </si>
  <si>
    <t>CIZALLA 24"</t>
  </si>
  <si>
    <t>002105</t>
  </si>
  <si>
    <t xml:space="preserve">ALICATE DE EXTENSION 8 </t>
  </si>
  <si>
    <t>002106</t>
  </si>
  <si>
    <t>ALICATE EXTENSION 10</t>
  </si>
  <si>
    <t>002107</t>
  </si>
  <si>
    <t xml:space="preserve">ALICATE EXTENSION 12 </t>
  </si>
  <si>
    <t>002109</t>
  </si>
  <si>
    <t>ALICATE DE PRESION CON CADENA 10</t>
  </si>
  <si>
    <t>002110</t>
  </si>
  <si>
    <t>PINZA PELA CABLE AUTOMATICA 8</t>
  </si>
  <si>
    <t>002111</t>
  </si>
  <si>
    <t xml:space="preserve">LLAVE UNIVERSAL CON CADENA </t>
  </si>
  <si>
    <t>002112</t>
  </si>
  <si>
    <t>LLAVE CADENA TIPO CAIMAN 28</t>
  </si>
  <si>
    <t>002116</t>
  </si>
  <si>
    <t xml:space="preserve">CORTA RAMAS ALTAS </t>
  </si>
  <si>
    <t>002117</t>
  </si>
  <si>
    <t xml:space="preserve">SOPLADORA ELECTRICA </t>
  </si>
  <si>
    <t>002123</t>
  </si>
  <si>
    <t xml:space="preserve">PINZA PELA CABLE DE 10 </t>
  </si>
  <si>
    <t>002125</t>
  </si>
  <si>
    <t>CIZALLA PROFESIONAL 36"</t>
  </si>
  <si>
    <t>002128</t>
  </si>
  <si>
    <t>LLAVE AJUSTABLE PERICO 10"</t>
  </si>
  <si>
    <t>002129</t>
  </si>
  <si>
    <t xml:space="preserve">LAMPARA LED CUADRADA EMPOTRADA DE 9 </t>
  </si>
  <si>
    <t>002132</t>
  </si>
  <si>
    <t>EMPALME TUBULAR DE COMPRESION NO 6</t>
  </si>
  <si>
    <t>002142</t>
  </si>
  <si>
    <t>AZUCAR 3LB</t>
  </si>
  <si>
    <t>002143</t>
  </si>
  <si>
    <t>ROLLO DE TEFLON 13M*1/2</t>
  </si>
  <si>
    <t>002144</t>
  </si>
  <si>
    <t>ROLLO DE TEFLON 13M*3/4</t>
  </si>
  <si>
    <t>002147</t>
  </si>
  <si>
    <t>BLOCK INDUSTRIAL DE 8</t>
  </si>
  <si>
    <t>002157</t>
  </si>
  <si>
    <t>BREAKER INDUSTRIAL</t>
  </si>
  <si>
    <t>002166</t>
  </si>
  <si>
    <t>REDUCCION BUSHING HG 2*1-1/2</t>
  </si>
  <si>
    <t>002171</t>
  </si>
  <si>
    <t>TIE RAP 14*8MM</t>
  </si>
  <si>
    <t>002172</t>
  </si>
  <si>
    <t>CLORO GRANULADO TANQUE 50KG</t>
  </si>
  <si>
    <t>002183</t>
  </si>
  <si>
    <t>JABON DE COCINA</t>
  </si>
  <si>
    <t>002184</t>
  </si>
  <si>
    <t>VARILLA SOLDAR UNIVERSAL 1/8</t>
  </si>
  <si>
    <t>002189</t>
  </si>
  <si>
    <t>CABLE NO.3/0 THHN</t>
  </si>
  <si>
    <t>002190</t>
  </si>
  <si>
    <t>CONTACTOR 220V 60HZ</t>
  </si>
  <si>
    <t>002194</t>
  </si>
  <si>
    <t>TUBOS DE 12 PVC SCH40</t>
  </si>
  <si>
    <t>002195</t>
  </si>
  <si>
    <t>SELLOS DE SUSPENSION DE SERVIVIO D MADER</t>
  </si>
  <si>
    <t>002197</t>
  </si>
  <si>
    <t>CONDULET CONDUIT 3</t>
  </si>
  <si>
    <t>002200</t>
  </si>
  <si>
    <t xml:space="preserve">CONECTOR EMT 3 </t>
  </si>
  <si>
    <t>002205</t>
  </si>
  <si>
    <t>CUBO PARA BASURA</t>
  </si>
  <si>
    <t>002212</t>
  </si>
  <si>
    <t>LAPTOP LENOVO GAMING 15.6 R5/8G/256SSD/R</t>
  </si>
  <si>
    <t>002213</t>
  </si>
  <si>
    <t>ALAMBRE DUPLEX # 14 -PIES-</t>
  </si>
  <si>
    <t>002215</t>
  </si>
  <si>
    <t>ALAMBRE THHN# 10 NEGRO -PIES-</t>
  </si>
  <si>
    <t>002226</t>
  </si>
  <si>
    <t>CABLE VINIL SUMERGIBLE 12/3</t>
  </si>
  <si>
    <t>002227</t>
  </si>
  <si>
    <t>CABLE THHN AMERICANO *6</t>
  </si>
  <si>
    <t>002236</t>
  </si>
  <si>
    <t>JUNTA HG 23</t>
  </si>
  <si>
    <t>002238</t>
  </si>
  <si>
    <t>JUNTA HG REDUCTORA 2</t>
  </si>
  <si>
    <t>002240</t>
  </si>
  <si>
    <t>NIPLE DE HIERRO GAL SCH 40 DE 2*10</t>
  </si>
  <si>
    <t>002241</t>
  </si>
  <si>
    <t>NIPLE HIERRO GAL SCH 40 DE 2*8</t>
  </si>
  <si>
    <t>002243</t>
  </si>
  <si>
    <t>TAPA HEMBRA GALV 150 LBS 2</t>
  </si>
  <si>
    <t>002244</t>
  </si>
  <si>
    <t>VALVULA DE BOLAS GENEBRE 1/2</t>
  </si>
  <si>
    <t>002246</t>
  </si>
  <si>
    <t xml:space="preserve">BREAKER 1P SIEMENS </t>
  </si>
  <si>
    <t>002247</t>
  </si>
  <si>
    <t>CABLE ACERRO DE 1/2 FORADO</t>
  </si>
  <si>
    <t>002253</t>
  </si>
  <si>
    <t>CEMENTO PVC DE 80Z LANGO AZUL</t>
  </si>
  <si>
    <t>002254</t>
  </si>
  <si>
    <t>CEMENTO PVC DE 16OZ LANGO AZUL</t>
  </si>
  <si>
    <t>002255</t>
  </si>
  <si>
    <t>MEDIO GALON DE CLORO</t>
  </si>
  <si>
    <t>002256</t>
  </si>
  <si>
    <t xml:space="preserve">MEDIO GALON DE DESIFENTATES </t>
  </si>
  <si>
    <t xml:space="preserve">Licda. Paula Maileny Morillo
</t>
  </si>
  <si>
    <t xml:space="preserve">  Licda. María Patricia Almonte
</t>
  </si>
  <si>
    <t>Enc. Seccion Contabilidad</t>
  </si>
  <si>
    <t>Dir. Administrativo Financiero</t>
  </si>
  <si>
    <t xml:space="preserve">Licdo. Reynaldo C. Méndez
     </t>
  </si>
  <si>
    <t xml:space="preserve">  Director General</t>
  </si>
  <si>
    <t>Balance Proveedores Junio 2025</t>
  </si>
  <si>
    <t>Proveedor</t>
  </si>
  <si>
    <t>Nombre</t>
  </si>
  <si>
    <t>Balance</t>
  </si>
  <si>
    <t>APB-01</t>
  </si>
  <si>
    <t>ALEX PEREZ BENCOSME</t>
  </si>
  <si>
    <t>C-01</t>
  </si>
  <si>
    <t>CLARO</t>
  </si>
  <si>
    <t>CCI01</t>
  </si>
  <si>
    <t>CARIBBEAN CHEMICAL INDUSTRIES, CORP</t>
  </si>
  <si>
    <t>EI-001</t>
  </si>
  <si>
    <t>ESTACION ISLA  O  CARLOS LIZARDO</t>
  </si>
  <si>
    <t>EM-003</t>
  </si>
  <si>
    <t>ESPAILLAT MOTORS SRL</t>
  </si>
  <si>
    <t>MI-001</t>
  </si>
  <si>
    <t>MERELCA INGENIERIA SRL</t>
  </si>
  <si>
    <t>RF-001</t>
  </si>
  <si>
    <t>GRUPO SANCHEZ</t>
  </si>
  <si>
    <t>STD-01</t>
  </si>
  <si>
    <t>SOLUCIONES TECNICAS DALIB, S.R.L.</t>
  </si>
  <si>
    <t>WIP-02</t>
  </si>
  <si>
    <t>ESPARTAPLAST DOMINICANA</t>
  </si>
  <si>
    <t xml:space="preserve"> Cuenta por Pagar Suplidor </t>
  </si>
  <si>
    <t>AM-004</t>
  </si>
  <si>
    <t>AYUNTAMIENTO MUNICIPAL DE MOCA</t>
  </si>
  <si>
    <t>ED-001</t>
  </si>
  <si>
    <t>EDENORTE DOMINICANA, S.A.</t>
  </si>
  <si>
    <t>Cuenta Pagar Suplidores  Gobierno</t>
  </si>
  <si>
    <t>Total Cuenta Por Pagar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</si>
</sst>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21"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
      <sz val="11"/>
      <color indexed="8"/>
      <name val="Calibri"/>
      <family val="2"/>
    </font>
    <font>
      <b/>
      <sz val="14"/>
      <color indexed="8"/>
      <name val="Calibri"/>
      <family val="2"/>
    </font>
    <font>
      <b/>
      <sz val="12"/>
      <color indexed="8"/>
      <name val="Calibri"/>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0" fontId="18" fillId="0" borderId="0"/>
    <xf numFmtId="43" fontId="18" fillId="0" borderId="0" applyFont="0" applyFill="0" applyBorder="0" applyAlignment="0" applyProtection="0"/>
  </cellStyleXfs>
  <cellXfs count="295">
    <xf numFmtId="0" fontId="0" fillId="0" borderId="0" xfId="0"/>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3" fillId="0" borderId="0" xfId="0" applyFont="1" applyAlignment="1">
      <alignment horizontal="justify"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5"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2" fillId="0" borderId="0" xfId="0" applyFont="1" applyFill="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7" fillId="0" borderId="1" xfId="0" applyNumberFormat="1" applyFont="1" applyBorder="1" applyAlignment="1">
      <alignment horizontal="right" vertical="center"/>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xf numFmtId="0" fontId="18" fillId="0" borderId="0" xfId="2"/>
    <xf numFmtId="0" fontId="20" fillId="0" borderId="0" xfId="2" applyFont="1" applyAlignment="1">
      <alignment horizontal="center"/>
    </xf>
    <xf numFmtId="0" fontId="18" fillId="0" borderId="7" xfId="2" applyBorder="1"/>
    <xf numFmtId="43" fontId="18" fillId="0" borderId="7" xfId="3" applyFont="1" applyBorder="1"/>
    <xf numFmtId="0" fontId="20" fillId="0" borderId="0" xfId="2" applyFont="1"/>
    <xf numFmtId="43" fontId="20" fillId="0" borderId="0" xfId="2" applyNumberFormat="1" applyFont="1"/>
    <xf numFmtId="0" fontId="18" fillId="0" borderId="0" xfId="2" applyAlignment="1">
      <alignment vertical="center"/>
    </xf>
    <xf numFmtId="0" fontId="18" fillId="0" borderId="0" xfId="2" applyAlignment="1"/>
    <xf numFmtId="0" fontId="18" fillId="0" borderId="0" xfId="2" applyAlignment="1">
      <alignment horizontal="center"/>
    </xf>
    <xf numFmtId="0" fontId="3" fillId="0" borderId="0" xfId="0" applyFont="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Fill="1" applyAlignment="1">
      <alignment horizontal="left" vertical="center" wrapText="1"/>
    </xf>
    <xf numFmtId="0" fontId="10" fillId="0" borderId="0" xfId="0" applyFont="1" applyAlignment="1">
      <alignment horizontal="left" vertical="center" wrapText="1"/>
    </xf>
    <xf numFmtId="0" fontId="2" fillId="4" borderId="1" xfId="0" applyFont="1" applyFill="1" applyBorder="1" applyAlignment="1">
      <alignment horizontal="center" vertical="center"/>
    </xf>
    <xf numFmtId="0" fontId="6" fillId="0" borderId="6"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horizontal="left"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Fill="1" applyAlignment="1">
      <alignment horizontal="left" vertical="center" wrapText="1"/>
    </xf>
    <xf numFmtId="0" fontId="2" fillId="0" borderId="0" xfId="0" applyFont="1" applyAlignment="1">
      <alignment horizontal="left" vertical="center"/>
    </xf>
    <xf numFmtId="0" fontId="3" fillId="5" borderId="0" xfId="0" applyFont="1" applyFill="1" applyAlignment="1">
      <alignment horizontal="left" vertical="center" wrapText="1"/>
    </xf>
    <xf numFmtId="0" fontId="3" fillId="0" borderId="0" xfId="0" applyFont="1" applyFill="1" applyAlignment="1">
      <alignment horizontal="left" wrapText="1"/>
    </xf>
    <xf numFmtId="0" fontId="2" fillId="0" borderId="0" xfId="0" applyFont="1" applyAlignment="1">
      <alignment horizontal="left"/>
    </xf>
    <xf numFmtId="0" fontId="3" fillId="3" borderId="0" xfId="0" applyFont="1" applyFill="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center"/>
    </xf>
    <xf numFmtId="0" fontId="19" fillId="0" borderId="0" xfId="2" applyFont="1" applyAlignment="1">
      <alignment horizontal="center"/>
    </xf>
  </cellXfs>
  <cellStyles count="4">
    <cellStyle name="Millares" xfId="1" builtinId="3"/>
    <cellStyle name="Millares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9060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170</xdr:row>
      <xdr:rowOff>123825</xdr:rowOff>
    </xdr:from>
    <xdr:to>
      <xdr:col>5</xdr:col>
      <xdr:colOff>0</xdr:colOff>
      <xdr:row>173</xdr:row>
      <xdr:rowOff>95250</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66344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227</xdr:row>
      <xdr:rowOff>95250</xdr:rowOff>
    </xdr:from>
    <xdr:to>
      <xdr:col>5</xdr:col>
      <xdr:colOff>0</xdr:colOff>
      <xdr:row>230</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689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402</xdr:row>
      <xdr:rowOff>66675</xdr:rowOff>
    </xdr:from>
    <xdr:to>
      <xdr:col>5</xdr:col>
      <xdr:colOff>0</xdr:colOff>
      <xdr:row>405</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10475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454</xdr:row>
      <xdr:rowOff>76200</xdr:rowOff>
    </xdr:from>
    <xdr:to>
      <xdr:col>5</xdr:col>
      <xdr:colOff>0</xdr:colOff>
      <xdr:row>456</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606790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493</xdr:row>
      <xdr:rowOff>85725</xdr:rowOff>
    </xdr:from>
    <xdr:to>
      <xdr:col>5</xdr:col>
      <xdr:colOff>0</xdr:colOff>
      <xdr:row>496</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12630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536</xdr:row>
      <xdr:rowOff>57150</xdr:rowOff>
    </xdr:from>
    <xdr:to>
      <xdr:col>5</xdr:col>
      <xdr:colOff>0</xdr:colOff>
      <xdr:row>539</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58703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583</xdr:row>
      <xdr:rowOff>104775</xdr:rowOff>
    </xdr:from>
    <xdr:to>
      <xdr:col>5</xdr:col>
      <xdr:colOff>0</xdr:colOff>
      <xdr:row>585</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57573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350</xdr:row>
      <xdr:rowOff>0</xdr:rowOff>
    </xdr:from>
    <xdr:to>
      <xdr:col>5</xdr:col>
      <xdr:colOff>0</xdr:colOff>
      <xdr:row>352</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65226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629</xdr:row>
      <xdr:rowOff>57150</xdr:rowOff>
    </xdr:from>
    <xdr:to>
      <xdr:col>5</xdr:col>
      <xdr:colOff>0</xdr:colOff>
      <xdr:row>632</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55680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illop/Downloads/ESTADO%20CORAAMOCA%20CG%2006%202025%20primer%20s%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Hoja4"/>
      <sheetName val="Mat"/>
      <sheetName val="BALANZA"/>
      <sheetName val="BALANZA G"/>
      <sheetName val="DE"/>
      <sheetName val="Pres A"/>
      <sheetName val="25A"/>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row r="3">
          <cell r="B3" t="str">
            <v>30 de junio del 2025</v>
          </cell>
          <cell r="C3" t="str">
            <v>- 2024</v>
          </cell>
        </row>
        <row r="4">
          <cell r="B4">
            <v>2025</v>
          </cell>
          <cell r="C4">
            <v>2024</v>
          </cell>
        </row>
        <row r="6">
          <cell r="B6">
            <v>1485895.3399999999</v>
          </cell>
        </row>
      </sheetData>
      <sheetData sheetId="6">
        <row r="12">
          <cell r="C12">
            <v>0</v>
          </cell>
          <cell r="D12">
            <v>0</v>
          </cell>
        </row>
        <row r="13">
          <cell r="C13">
            <v>95000</v>
          </cell>
        </row>
        <row r="15">
          <cell r="C15">
            <v>80000</v>
          </cell>
          <cell r="D15">
            <v>80000</v>
          </cell>
        </row>
        <row r="22">
          <cell r="C22">
            <v>0</v>
          </cell>
        </row>
        <row r="23">
          <cell r="C23">
            <v>1216.2</v>
          </cell>
        </row>
        <row r="24">
          <cell r="C24">
            <v>0</v>
          </cell>
        </row>
        <row r="25">
          <cell r="C25">
            <v>1215036.8700000001</v>
          </cell>
        </row>
        <row r="26">
          <cell r="C26">
            <v>829255.48</v>
          </cell>
        </row>
        <row r="27">
          <cell r="C27">
            <v>336736902.80000001</v>
          </cell>
        </row>
        <row r="28">
          <cell r="C28">
            <v>0</v>
          </cell>
        </row>
        <row r="30">
          <cell r="C30">
            <v>0</v>
          </cell>
          <cell r="D30">
            <v>0</v>
          </cell>
        </row>
        <row r="34">
          <cell r="C34">
            <v>0</v>
          </cell>
        </row>
        <row r="35">
          <cell r="D35">
            <v>1350.12</v>
          </cell>
        </row>
        <row r="40">
          <cell r="C40">
            <v>0</v>
          </cell>
          <cell r="D40">
            <v>0</v>
          </cell>
        </row>
        <row r="41">
          <cell r="C41">
            <v>14003912.51</v>
          </cell>
        </row>
        <row r="46">
          <cell r="C46">
            <v>0</v>
          </cell>
        </row>
        <row r="48">
          <cell r="C48">
            <v>167243.20000000001</v>
          </cell>
        </row>
        <row r="55">
          <cell r="C55">
            <v>1623675</v>
          </cell>
          <cell r="D55">
            <v>1623675</v>
          </cell>
          <cell r="F55">
            <v>1623675</v>
          </cell>
        </row>
        <row r="58">
          <cell r="C58">
            <v>953149176.46000004</v>
          </cell>
          <cell r="D58">
            <v>953149176.46000004</v>
          </cell>
        </row>
        <row r="59">
          <cell r="C59">
            <v>4381745.59</v>
          </cell>
          <cell r="D59">
            <v>4149647.32</v>
          </cell>
        </row>
        <row r="64">
          <cell r="C64">
            <v>55553258.920000002</v>
          </cell>
          <cell r="D64">
            <v>52883325.560000002</v>
          </cell>
          <cell r="F64">
            <v>45922302.979999997</v>
          </cell>
        </row>
        <row r="65">
          <cell r="C65">
            <v>10179245.880000001</v>
          </cell>
          <cell r="D65">
            <v>10179245.880000001</v>
          </cell>
        </row>
        <row r="68">
          <cell r="C68">
            <v>510150</v>
          </cell>
          <cell r="D68">
            <v>578847</v>
          </cell>
          <cell r="F68">
            <v>74900</v>
          </cell>
        </row>
        <row r="71">
          <cell r="C71">
            <v>6731840.9500000002</v>
          </cell>
          <cell r="D71">
            <v>5837722.9500000002</v>
          </cell>
        </row>
        <row r="74">
          <cell r="C74">
            <v>28796945.620000001</v>
          </cell>
          <cell r="D74">
            <v>24266945.620000001</v>
          </cell>
        </row>
        <row r="77">
          <cell r="C77">
            <v>932591.88</v>
          </cell>
        </row>
        <row r="94">
          <cell r="C94">
            <v>0</v>
          </cell>
          <cell r="D94">
            <v>0</v>
          </cell>
        </row>
        <row r="95">
          <cell r="C95">
            <v>0</v>
          </cell>
        </row>
        <row r="96">
          <cell r="C96">
            <v>0</v>
          </cell>
          <cell r="D96">
            <v>0</v>
          </cell>
        </row>
        <row r="97">
          <cell r="C97">
            <v>0</v>
          </cell>
        </row>
        <row r="98">
          <cell r="C98">
            <v>0</v>
          </cell>
        </row>
        <row r="99">
          <cell r="C99">
            <v>56304.6</v>
          </cell>
        </row>
        <row r="100">
          <cell r="C100">
            <v>0</v>
          </cell>
        </row>
        <row r="101">
          <cell r="C101">
            <v>71945.25</v>
          </cell>
        </row>
        <row r="104">
          <cell r="C104">
            <v>0</v>
          </cell>
          <cell r="D104">
            <v>0</v>
          </cell>
        </row>
        <row r="105">
          <cell r="C105">
            <v>0</v>
          </cell>
          <cell r="D105">
            <v>0</v>
          </cell>
        </row>
        <row r="107">
          <cell r="C107">
            <v>27026598.699999999</v>
          </cell>
        </row>
        <row r="108">
          <cell r="C108">
            <v>0</v>
          </cell>
        </row>
        <row r="109">
          <cell r="C109">
            <v>0</v>
          </cell>
        </row>
        <row r="114">
          <cell r="C114">
            <v>0</v>
          </cell>
          <cell r="D114">
            <v>252299.3</v>
          </cell>
        </row>
        <row r="115">
          <cell r="C115">
            <v>0</v>
          </cell>
          <cell r="D115">
            <v>0</v>
          </cell>
        </row>
        <row r="118">
          <cell r="C118">
            <v>0</v>
          </cell>
          <cell r="D118">
            <v>0</v>
          </cell>
        </row>
        <row r="127">
          <cell r="C127">
            <v>808793054.60000002</v>
          </cell>
          <cell r="D127">
            <v>808793054.60000002</v>
          </cell>
        </row>
        <row r="135">
          <cell r="C135">
            <v>91837300.299999997</v>
          </cell>
        </row>
        <row r="148">
          <cell r="C148">
            <v>0</v>
          </cell>
        </row>
        <row r="152">
          <cell r="C152">
            <v>23959002</v>
          </cell>
        </row>
        <row r="153">
          <cell r="C153">
            <v>50235000</v>
          </cell>
        </row>
        <row r="154">
          <cell r="C154">
            <v>27771912</v>
          </cell>
        </row>
        <row r="161">
          <cell r="C161">
            <v>71984764</v>
          </cell>
        </row>
        <row r="162">
          <cell r="C162">
            <v>20000</v>
          </cell>
        </row>
        <row r="163">
          <cell r="C163">
            <v>0</v>
          </cell>
        </row>
        <row r="164">
          <cell r="C164">
            <v>0</v>
          </cell>
        </row>
        <row r="165">
          <cell r="C165">
            <v>0</v>
          </cell>
        </row>
        <row r="166">
          <cell r="C166">
            <v>97431.35</v>
          </cell>
        </row>
        <row r="167">
          <cell r="C167">
            <v>0</v>
          </cell>
        </row>
        <row r="168">
          <cell r="C168">
            <v>0</v>
          </cell>
        </row>
        <row r="169">
          <cell r="C169">
            <v>0</v>
          </cell>
        </row>
        <row r="170">
          <cell r="C170">
            <v>32257.59</v>
          </cell>
        </row>
        <row r="171">
          <cell r="C171">
            <v>552175</v>
          </cell>
        </row>
        <row r="172">
          <cell r="C172">
            <v>3552639.72</v>
          </cell>
        </row>
        <row r="173">
          <cell r="C173">
            <v>0</v>
          </cell>
        </row>
        <row r="174">
          <cell r="C174">
            <v>4163667</v>
          </cell>
        </row>
        <row r="175">
          <cell r="C175">
            <v>0</v>
          </cell>
        </row>
        <row r="176">
          <cell r="C176">
            <v>0</v>
          </cell>
        </row>
        <row r="178">
          <cell r="C178">
            <v>0</v>
          </cell>
          <cell r="D178">
            <v>0</v>
          </cell>
        </row>
        <row r="179">
          <cell r="C179">
            <v>1075000</v>
          </cell>
        </row>
        <row r="180">
          <cell r="C180">
            <v>0</v>
          </cell>
        </row>
        <row r="181">
          <cell r="C181">
            <v>0</v>
          </cell>
        </row>
        <row r="182">
          <cell r="C182">
            <v>0</v>
          </cell>
        </row>
        <row r="184">
          <cell r="C184">
            <v>8250</v>
          </cell>
        </row>
        <row r="185">
          <cell r="C185">
            <v>0</v>
          </cell>
        </row>
        <row r="186">
          <cell r="C186">
            <v>0</v>
          </cell>
        </row>
        <row r="189">
          <cell r="C189">
            <v>5104234.13</v>
          </cell>
        </row>
        <row r="190">
          <cell r="C190">
            <v>5112803.8499999996</v>
          </cell>
        </row>
        <row r="191">
          <cell r="C191">
            <v>855621.15</v>
          </cell>
        </row>
        <row r="197">
          <cell r="C197">
            <v>0</v>
          </cell>
        </row>
        <row r="198">
          <cell r="C198">
            <v>0</v>
          </cell>
        </row>
        <row r="202">
          <cell r="C202">
            <v>351000</v>
          </cell>
        </row>
        <row r="203">
          <cell r="C203">
            <v>872238.31</v>
          </cell>
        </row>
        <row r="204">
          <cell r="C204">
            <v>462100.14</v>
          </cell>
        </row>
        <row r="205">
          <cell r="C205">
            <v>0</v>
          </cell>
        </row>
        <row r="206">
          <cell r="C206">
            <v>171478.53</v>
          </cell>
        </row>
        <row r="207">
          <cell r="C207">
            <v>37629657.270000003</v>
          </cell>
        </row>
        <row r="208">
          <cell r="C208">
            <v>0</v>
          </cell>
        </row>
        <row r="209">
          <cell r="C209">
            <v>0</v>
          </cell>
        </row>
        <row r="210">
          <cell r="C210">
            <v>380150</v>
          </cell>
        </row>
        <row r="211">
          <cell r="C211">
            <v>437642.55</v>
          </cell>
        </row>
        <row r="212">
          <cell r="C212">
            <v>0</v>
          </cell>
        </row>
        <row r="213">
          <cell r="C213">
            <v>0</v>
          </cell>
        </row>
        <row r="214">
          <cell r="C214">
            <v>0</v>
          </cell>
        </row>
        <row r="215">
          <cell r="C215">
            <v>0</v>
          </cell>
        </row>
        <row r="216">
          <cell r="C216">
            <v>0</v>
          </cell>
        </row>
        <row r="218">
          <cell r="C218">
            <v>1452439.73</v>
          </cell>
        </row>
        <row r="219">
          <cell r="C219">
            <v>0</v>
          </cell>
        </row>
        <row r="220">
          <cell r="C220">
            <v>0</v>
          </cell>
        </row>
        <row r="221">
          <cell r="C221">
            <v>0</v>
          </cell>
        </row>
        <row r="222">
          <cell r="C222">
            <v>250000</v>
          </cell>
        </row>
        <row r="223">
          <cell r="C223">
            <v>0</v>
          </cell>
        </row>
        <row r="224">
          <cell r="C224">
            <v>0</v>
          </cell>
        </row>
        <row r="225">
          <cell r="C225">
            <v>281537.88</v>
          </cell>
        </row>
        <row r="226">
          <cell r="C226">
            <v>45048.24</v>
          </cell>
        </row>
        <row r="228">
          <cell r="C228">
            <v>0</v>
          </cell>
        </row>
        <row r="229">
          <cell r="C229">
            <v>0</v>
          </cell>
        </row>
        <row r="230">
          <cell r="C230">
            <v>4395804.21</v>
          </cell>
        </row>
        <row r="231">
          <cell r="C231">
            <v>0</v>
          </cell>
        </row>
        <row r="232">
          <cell r="C232">
            <v>0</v>
          </cell>
        </row>
        <row r="233">
          <cell r="C233">
            <v>0</v>
          </cell>
        </row>
        <row r="234">
          <cell r="C234">
            <v>0</v>
          </cell>
        </row>
        <row r="236">
          <cell r="C236">
            <v>0</v>
          </cell>
        </row>
        <row r="237">
          <cell r="C237">
            <v>0</v>
          </cell>
        </row>
        <row r="238">
          <cell r="C238">
            <v>0</v>
          </cell>
        </row>
        <row r="239">
          <cell r="C239">
            <v>793388.98</v>
          </cell>
        </row>
        <row r="240">
          <cell r="C240">
            <v>134000</v>
          </cell>
        </row>
        <row r="241">
          <cell r="C241">
            <v>4605</v>
          </cell>
        </row>
        <row r="242">
          <cell r="C242">
            <v>5330.02</v>
          </cell>
        </row>
        <row r="243">
          <cell r="C243">
            <v>0</v>
          </cell>
        </row>
        <row r="245">
          <cell r="C245">
            <v>0</v>
          </cell>
        </row>
        <row r="246">
          <cell r="C246">
            <v>0</v>
          </cell>
        </row>
        <row r="247">
          <cell r="C247">
            <v>357100.02</v>
          </cell>
        </row>
        <row r="248">
          <cell r="C248">
            <v>0</v>
          </cell>
        </row>
        <row r="249">
          <cell r="C249">
            <v>0</v>
          </cell>
        </row>
        <row r="250">
          <cell r="C250">
            <v>0</v>
          </cell>
        </row>
        <row r="251">
          <cell r="C251">
            <v>204000</v>
          </cell>
        </row>
        <row r="252">
          <cell r="C252">
            <v>3595192.21</v>
          </cell>
        </row>
        <row r="253">
          <cell r="C253">
            <v>0</v>
          </cell>
          <cell r="D253">
            <v>0</v>
          </cell>
        </row>
        <row r="258">
          <cell r="C258">
            <v>307993.93</v>
          </cell>
        </row>
        <row r="260">
          <cell r="C260">
            <v>108882.25</v>
          </cell>
        </row>
        <row r="261">
          <cell r="C261">
            <v>0</v>
          </cell>
        </row>
        <row r="262">
          <cell r="C262">
            <v>0</v>
          </cell>
        </row>
        <row r="263">
          <cell r="C263">
            <v>0</v>
          </cell>
        </row>
        <row r="264">
          <cell r="C264">
            <v>147878.28</v>
          </cell>
        </row>
        <row r="265">
          <cell r="C265">
            <v>0</v>
          </cell>
        </row>
        <row r="266">
          <cell r="C266">
            <v>3120</v>
          </cell>
        </row>
        <row r="268">
          <cell r="C268">
            <v>2612700</v>
          </cell>
        </row>
        <row r="269">
          <cell r="C269">
            <v>1749500</v>
          </cell>
        </row>
        <row r="270">
          <cell r="C270">
            <v>0</v>
          </cell>
        </row>
        <row r="271">
          <cell r="C271">
            <v>0</v>
          </cell>
        </row>
        <row r="272">
          <cell r="C272">
            <v>2102510</v>
          </cell>
        </row>
        <row r="273">
          <cell r="C273">
            <v>0</v>
          </cell>
        </row>
        <row r="274">
          <cell r="C274">
            <v>9745</v>
          </cell>
        </row>
        <row r="275">
          <cell r="C275">
            <v>0</v>
          </cell>
        </row>
        <row r="277">
          <cell r="C277">
            <v>32627.119999999999</v>
          </cell>
        </row>
        <row r="278">
          <cell r="C278">
            <v>48351</v>
          </cell>
        </row>
        <row r="279">
          <cell r="C279">
            <v>36228.46</v>
          </cell>
        </row>
        <row r="280">
          <cell r="C280">
            <v>4851.05</v>
          </cell>
        </row>
        <row r="281">
          <cell r="C281">
            <v>633707.9</v>
          </cell>
        </row>
        <row r="282">
          <cell r="C282">
            <v>4600</v>
          </cell>
        </row>
        <row r="283">
          <cell r="C283">
            <v>66943.94</v>
          </cell>
        </row>
        <row r="284">
          <cell r="C284">
            <v>120574.6</v>
          </cell>
        </row>
        <row r="285">
          <cell r="C285">
            <v>2968500</v>
          </cell>
        </row>
        <row r="286">
          <cell r="C286">
            <v>0</v>
          </cell>
        </row>
        <row r="287">
          <cell r="C287">
            <v>9432</v>
          </cell>
        </row>
        <row r="288">
          <cell r="C288">
            <v>720257.05</v>
          </cell>
        </row>
        <row r="289">
          <cell r="C289">
            <v>0</v>
          </cell>
        </row>
        <row r="290">
          <cell r="C290">
            <v>0</v>
          </cell>
        </row>
        <row r="291">
          <cell r="C291">
            <v>0</v>
          </cell>
        </row>
        <row r="292">
          <cell r="C292">
            <v>14950</v>
          </cell>
        </row>
        <row r="293">
          <cell r="C293">
            <v>0</v>
          </cell>
        </row>
        <row r="294">
          <cell r="C294">
            <v>0</v>
          </cell>
        </row>
        <row r="295">
          <cell r="C295">
            <v>1217390</v>
          </cell>
        </row>
        <row r="296">
          <cell r="C296">
            <v>0</v>
          </cell>
        </row>
        <row r="297">
          <cell r="C297">
            <v>0</v>
          </cell>
        </row>
        <row r="298">
          <cell r="C298">
            <v>0</v>
          </cell>
        </row>
        <row r="300">
          <cell r="C300">
            <v>0</v>
          </cell>
        </row>
        <row r="301">
          <cell r="C301">
            <v>52140</v>
          </cell>
          <cell r="D301">
            <v>160568.42000000001</v>
          </cell>
        </row>
        <row r="304">
          <cell r="C304">
            <v>1525455.69</v>
          </cell>
        </row>
        <row r="305">
          <cell r="C305">
            <v>30000</v>
          </cell>
          <cell r="D305">
            <v>0</v>
          </cell>
        </row>
        <row r="306">
          <cell r="D306">
            <v>0</v>
          </cell>
        </row>
      </sheetData>
      <sheetData sheetId="7"/>
      <sheetData sheetId="8">
        <row r="289">
          <cell r="E289">
            <v>51195285</v>
          </cell>
        </row>
        <row r="290">
          <cell r="E290">
            <v>55543832</v>
          </cell>
        </row>
        <row r="291">
          <cell r="E291">
            <v>100470000</v>
          </cell>
        </row>
        <row r="295">
          <cell r="E295">
            <v>240000000</v>
          </cell>
        </row>
      </sheetData>
      <sheetData sheetId="9"/>
      <sheetData sheetId="10">
        <row r="597">
          <cell r="C597">
            <v>326586.12</v>
          </cell>
        </row>
      </sheetData>
      <sheetData sheetId="11">
        <row r="28">
          <cell r="E28">
            <v>270856525.61000001</v>
          </cell>
          <cell r="F28">
            <v>26935891.919999998</v>
          </cell>
          <cell r="H28">
            <v>11856936.66</v>
          </cell>
          <cell r="I28">
            <v>38206151.979999997</v>
          </cell>
        </row>
        <row r="29">
          <cell r="E29">
            <v>18874225.209999979</v>
          </cell>
          <cell r="F29">
            <v>1324392.1700000013</v>
          </cell>
          <cell r="G29">
            <v>7695.5400000000081</v>
          </cell>
          <cell r="H29">
            <v>582985.48000000068</v>
          </cell>
          <cell r="I29">
            <v>2509051.2700000033</v>
          </cell>
          <cell r="K29">
            <v>23298349.669999983</v>
          </cell>
        </row>
      </sheetData>
      <sheetData sheetId="12"/>
      <sheetData sheetId="13">
        <row r="11">
          <cell r="B11">
            <v>338877411.35000002</v>
          </cell>
        </row>
        <row r="12">
          <cell r="B12">
            <v>0</v>
          </cell>
        </row>
        <row r="15">
          <cell r="B15">
            <v>14003912.51</v>
          </cell>
        </row>
        <row r="16">
          <cell r="B16">
            <v>167243.20000000001</v>
          </cell>
        </row>
        <row r="17">
          <cell r="B17">
            <v>0</v>
          </cell>
          <cell r="C17">
            <v>193172</v>
          </cell>
        </row>
        <row r="36">
          <cell r="B36">
            <v>128249.85</v>
          </cell>
        </row>
        <row r="60">
          <cell r="B60">
            <v>1099677419.0599999</v>
          </cell>
          <cell r="C60">
            <v>1054567516.0600001</v>
          </cell>
        </row>
      </sheetData>
      <sheetData sheetId="14">
        <row r="11">
          <cell r="B11">
            <v>91837300.299999997</v>
          </cell>
        </row>
        <row r="12">
          <cell r="B12">
            <v>101965914</v>
          </cell>
          <cell r="C12">
            <v>97396275.019999996</v>
          </cell>
        </row>
        <row r="13">
          <cell r="B13">
            <v>0</v>
          </cell>
        </row>
        <row r="17">
          <cell r="B17">
            <v>94084299.480000004</v>
          </cell>
        </row>
        <row r="18">
          <cell r="B18">
            <v>30000</v>
          </cell>
        </row>
        <row r="19">
          <cell r="B19">
            <v>13054742.58</v>
          </cell>
        </row>
        <row r="20">
          <cell r="B20">
            <v>23350489.669999983</v>
          </cell>
          <cell r="C20">
            <v>28133686.730000004</v>
          </cell>
        </row>
        <row r="22">
          <cell r="B22">
            <v>51331613.069999993</v>
          </cell>
        </row>
        <row r="23">
          <cell r="B23">
            <v>357100.02</v>
          </cell>
        </row>
        <row r="35">
          <cell r="B35">
            <v>11594969.480000019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5">
          <cell r="D25">
            <v>3993167</v>
          </cell>
          <cell r="E25">
            <v>3993167</v>
          </cell>
          <cell r="F25">
            <v>3993167</v>
          </cell>
          <cell r="G25">
            <v>3993167</v>
          </cell>
          <cell r="H25">
            <v>3993167</v>
          </cell>
          <cell r="I25">
            <v>3993167</v>
          </cell>
          <cell r="J25">
            <v>0</v>
          </cell>
          <cell r="K25">
            <v>0</v>
          </cell>
          <cell r="L25">
            <v>0</v>
          </cell>
          <cell r="M25">
            <v>0</v>
          </cell>
          <cell r="N25">
            <v>0</v>
          </cell>
          <cell r="O25">
            <v>0</v>
          </cell>
        </row>
        <row r="26">
          <cell r="D26">
            <v>0</v>
          </cell>
          <cell r="E26">
            <v>8372500</v>
          </cell>
          <cell r="F26">
            <v>0</v>
          </cell>
          <cell r="G26">
            <v>25117500</v>
          </cell>
          <cell r="H26">
            <v>8372500</v>
          </cell>
          <cell r="I26">
            <v>8372500</v>
          </cell>
          <cell r="J26">
            <v>0</v>
          </cell>
          <cell r="K26">
            <v>0</v>
          </cell>
          <cell r="L26">
            <v>0</v>
          </cell>
          <cell r="M26">
            <v>0</v>
          </cell>
          <cell r="N26">
            <v>0</v>
          </cell>
          <cell r="O26">
            <v>0</v>
          </cell>
        </row>
        <row r="27">
          <cell r="D27">
            <v>4628652</v>
          </cell>
          <cell r="E27">
            <v>4628652</v>
          </cell>
          <cell r="F27">
            <v>4628652</v>
          </cell>
          <cell r="G27">
            <v>4628652</v>
          </cell>
          <cell r="H27">
            <v>4628652</v>
          </cell>
          <cell r="I27">
            <v>4628652</v>
          </cell>
          <cell r="J27">
            <v>0</v>
          </cell>
          <cell r="K27">
            <v>0</v>
          </cell>
          <cell r="L27">
            <v>0</v>
          </cell>
          <cell r="M27">
            <v>0</v>
          </cell>
          <cell r="N27">
            <v>0</v>
          </cell>
          <cell r="O27">
            <v>0</v>
          </cell>
        </row>
      </sheetData>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70"/>
  <sheetViews>
    <sheetView tabSelected="1" workbookViewId="0">
      <selection activeCell="E8" sqref="E8"/>
    </sheetView>
  </sheetViews>
  <sheetFormatPr baseColWidth="10" defaultColWidth="9.140625" defaultRowHeight="15" x14ac:dyDescent="0.25"/>
  <cols>
    <col min="1" max="1" width="1.28515625" style="1" customWidth="1"/>
    <col min="2" max="2" width="43.42578125" style="15" customWidth="1"/>
    <col min="3" max="3" width="17.85546875" style="1" customWidth="1"/>
    <col min="4" max="4" width="18.5703125" style="2" customWidth="1"/>
    <col min="5" max="5" width="17.140625" style="1" customWidth="1"/>
    <col min="6" max="6" width="1" style="1" customWidth="1"/>
    <col min="7" max="7" width="11.42578125" style="1" bestFit="1" customWidth="1"/>
    <col min="8" max="8" width="7" style="1" hidden="1" customWidth="1"/>
    <col min="9" max="9" width="31" style="1" hidden="1" customWidth="1"/>
    <col min="10" max="10" width="5.28515625" style="2" customWidth="1"/>
    <col min="11" max="11" width="17.5703125" style="2" hidden="1" customWidth="1"/>
    <col min="12" max="13" width="5.28515625" style="1" hidden="1" customWidth="1"/>
    <col min="14" max="14" width="5.28515625" style="2" customWidth="1"/>
    <col min="15" max="15" width="31" style="1" hidden="1" customWidth="1"/>
    <col min="16" max="16" width="5.5703125" style="1" hidden="1" customWidth="1"/>
    <col min="17" max="17" width="31" style="1" hidden="1" customWidth="1"/>
    <col min="18" max="18" width="15" style="3" bestFit="1" customWidth="1"/>
    <col min="19" max="19" width="11.7109375" style="3" bestFit="1" customWidth="1"/>
    <col min="20" max="22" width="4" style="3" bestFit="1" customWidth="1"/>
    <col min="23" max="23" width="3.5703125" style="3" bestFit="1" customWidth="1"/>
    <col min="24" max="24" width="3.5703125" style="3" hidden="1" customWidth="1"/>
    <col min="25" max="25" width="31" style="3" hidden="1" customWidth="1"/>
    <col min="26" max="26" width="12.85546875" style="2" bestFit="1" customWidth="1"/>
    <col min="27" max="27" width="5.140625" style="1" bestFit="1" customWidth="1"/>
    <col min="28" max="28" width="8.85546875" style="1" customWidth="1"/>
    <col min="29" max="256" width="9.140625" style="1"/>
    <col min="257" max="257" width="1.28515625" style="1" customWidth="1"/>
    <col min="258" max="258" width="43.42578125" style="1" customWidth="1"/>
    <col min="259" max="259" width="17.85546875" style="1" customWidth="1"/>
    <col min="260" max="260" width="18.5703125" style="1" customWidth="1"/>
    <col min="261" max="261" width="17.140625" style="1" customWidth="1"/>
    <col min="262" max="262" width="1" style="1" customWidth="1"/>
    <col min="263" max="263" width="11.42578125" style="1" bestFit="1" customWidth="1"/>
    <col min="264" max="265" width="0" style="1" hidden="1" customWidth="1"/>
    <col min="266" max="266" width="5.28515625" style="1" customWidth="1"/>
    <col min="267" max="269" width="0" style="1" hidden="1" customWidth="1"/>
    <col min="270" max="270" width="5.28515625" style="1" customWidth="1"/>
    <col min="271" max="273" width="0" style="1" hidden="1" customWidth="1"/>
    <col min="274" max="274" width="15" style="1" bestFit="1" customWidth="1"/>
    <col min="275" max="275" width="11.7109375" style="1" bestFit="1" customWidth="1"/>
    <col min="276" max="278" width="4" style="1" bestFit="1" customWidth="1"/>
    <col min="279" max="279" width="3.5703125" style="1" bestFit="1" customWidth="1"/>
    <col min="280" max="281" width="0" style="1" hidden="1" customWidth="1"/>
    <col min="282" max="282" width="12.85546875" style="1" bestFit="1" customWidth="1"/>
    <col min="283" max="283" width="5.140625" style="1" bestFit="1" customWidth="1"/>
    <col min="284" max="284" width="8.85546875" style="1" customWidth="1"/>
    <col min="285" max="512" width="9.140625" style="1"/>
    <col min="513" max="513" width="1.28515625" style="1" customWidth="1"/>
    <col min="514" max="514" width="43.42578125" style="1" customWidth="1"/>
    <col min="515" max="515" width="17.85546875" style="1" customWidth="1"/>
    <col min="516" max="516" width="18.5703125" style="1" customWidth="1"/>
    <col min="517" max="517" width="17.140625" style="1" customWidth="1"/>
    <col min="518" max="518" width="1" style="1" customWidth="1"/>
    <col min="519" max="519" width="11.42578125" style="1" bestFit="1" customWidth="1"/>
    <col min="520" max="521" width="0" style="1" hidden="1" customWidth="1"/>
    <col min="522" max="522" width="5.28515625" style="1" customWidth="1"/>
    <col min="523" max="525" width="0" style="1" hidden="1" customWidth="1"/>
    <col min="526" max="526" width="5.28515625" style="1" customWidth="1"/>
    <col min="527" max="529" width="0" style="1" hidden="1" customWidth="1"/>
    <col min="530" max="530" width="15" style="1" bestFit="1" customWidth="1"/>
    <col min="531" max="531" width="11.7109375" style="1" bestFit="1" customWidth="1"/>
    <col min="532" max="534" width="4" style="1" bestFit="1" customWidth="1"/>
    <col min="535" max="535" width="3.5703125" style="1" bestFit="1" customWidth="1"/>
    <col min="536" max="537" width="0" style="1" hidden="1" customWidth="1"/>
    <col min="538" max="538" width="12.85546875" style="1" bestFit="1" customWidth="1"/>
    <col min="539" max="539" width="5.140625" style="1" bestFit="1" customWidth="1"/>
    <col min="540" max="540" width="8.85546875" style="1" customWidth="1"/>
    <col min="541" max="768" width="9.140625" style="1"/>
    <col min="769" max="769" width="1.28515625" style="1" customWidth="1"/>
    <col min="770" max="770" width="43.42578125" style="1" customWidth="1"/>
    <col min="771" max="771" width="17.85546875" style="1" customWidth="1"/>
    <col min="772" max="772" width="18.5703125" style="1" customWidth="1"/>
    <col min="773" max="773" width="17.140625" style="1" customWidth="1"/>
    <col min="774" max="774" width="1" style="1" customWidth="1"/>
    <col min="775" max="775" width="11.42578125" style="1" bestFit="1" customWidth="1"/>
    <col min="776" max="777" width="0" style="1" hidden="1" customWidth="1"/>
    <col min="778" max="778" width="5.28515625" style="1" customWidth="1"/>
    <col min="779" max="781" width="0" style="1" hidden="1" customWidth="1"/>
    <col min="782" max="782" width="5.28515625" style="1" customWidth="1"/>
    <col min="783" max="785" width="0" style="1" hidden="1" customWidth="1"/>
    <col min="786" max="786" width="15" style="1" bestFit="1" customWidth="1"/>
    <col min="787" max="787" width="11.7109375" style="1" bestFit="1" customWidth="1"/>
    <col min="788" max="790" width="4" style="1" bestFit="1" customWidth="1"/>
    <col min="791" max="791" width="3.5703125" style="1" bestFit="1" customWidth="1"/>
    <col min="792" max="793" width="0" style="1" hidden="1" customWidth="1"/>
    <col min="794" max="794" width="12.85546875" style="1" bestFit="1" customWidth="1"/>
    <col min="795" max="795" width="5.140625" style="1" bestFit="1" customWidth="1"/>
    <col min="796" max="796" width="8.85546875" style="1" customWidth="1"/>
    <col min="797" max="1024" width="9.140625" style="1"/>
    <col min="1025" max="1025" width="1.28515625" style="1" customWidth="1"/>
    <col min="1026" max="1026" width="43.42578125" style="1" customWidth="1"/>
    <col min="1027" max="1027" width="17.85546875" style="1" customWidth="1"/>
    <col min="1028" max="1028" width="18.5703125" style="1" customWidth="1"/>
    <col min="1029" max="1029" width="17.140625" style="1" customWidth="1"/>
    <col min="1030" max="1030" width="1" style="1" customWidth="1"/>
    <col min="1031" max="1031" width="11.42578125" style="1" bestFit="1" customWidth="1"/>
    <col min="1032" max="1033" width="0" style="1" hidden="1" customWidth="1"/>
    <col min="1034" max="1034" width="5.28515625" style="1" customWidth="1"/>
    <col min="1035" max="1037" width="0" style="1" hidden="1" customWidth="1"/>
    <col min="1038" max="1038" width="5.28515625" style="1" customWidth="1"/>
    <col min="1039" max="1041" width="0" style="1" hidden="1" customWidth="1"/>
    <col min="1042" max="1042" width="15" style="1" bestFit="1" customWidth="1"/>
    <col min="1043" max="1043" width="11.7109375" style="1" bestFit="1" customWidth="1"/>
    <col min="1044" max="1046" width="4" style="1" bestFit="1" customWidth="1"/>
    <col min="1047" max="1047" width="3.5703125" style="1" bestFit="1" customWidth="1"/>
    <col min="1048" max="1049" width="0" style="1" hidden="1" customWidth="1"/>
    <col min="1050" max="1050" width="12.85546875" style="1" bestFit="1" customWidth="1"/>
    <col min="1051" max="1051" width="5.140625" style="1" bestFit="1" customWidth="1"/>
    <col min="1052" max="1052" width="8.85546875" style="1" customWidth="1"/>
    <col min="1053" max="1280" width="9.140625" style="1"/>
    <col min="1281" max="1281" width="1.28515625" style="1" customWidth="1"/>
    <col min="1282" max="1282" width="43.42578125" style="1" customWidth="1"/>
    <col min="1283" max="1283" width="17.85546875" style="1" customWidth="1"/>
    <col min="1284" max="1284" width="18.5703125" style="1" customWidth="1"/>
    <col min="1285" max="1285" width="17.140625" style="1" customWidth="1"/>
    <col min="1286" max="1286" width="1" style="1" customWidth="1"/>
    <col min="1287" max="1287" width="11.42578125" style="1" bestFit="1" customWidth="1"/>
    <col min="1288" max="1289" width="0" style="1" hidden="1" customWidth="1"/>
    <col min="1290" max="1290" width="5.28515625" style="1" customWidth="1"/>
    <col min="1291" max="1293" width="0" style="1" hidden="1" customWidth="1"/>
    <col min="1294" max="1294" width="5.28515625" style="1" customWidth="1"/>
    <col min="1295" max="1297" width="0" style="1" hidden="1" customWidth="1"/>
    <col min="1298" max="1298" width="15" style="1" bestFit="1" customWidth="1"/>
    <col min="1299" max="1299" width="11.7109375" style="1" bestFit="1" customWidth="1"/>
    <col min="1300" max="1302" width="4" style="1" bestFit="1" customWidth="1"/>
    <col min="1303" max="1303" width="3.5703125" style="1" bestFit="1" customWidth="1"/>
    <col min="1304" max="1305" width="0" style="1" hidden="1" customWidth="1"/>
    <col min="1306" max="1306" width="12.85546875" style="1" bestFit="1" customWidth="1"/>
    <col min="1307" max="1307" width="5.140625" style="1" bestFit="1" customWidth="1"/>
    <col min="1308" max="1308" width="8.85546875" style="1" customWidth="1"/>
    <col min="1309" max="1536" width="9.140625" style="1"/>
    <col min="1537" max="1537" width="1.28515625" style="1" customWidth="1"/>
    <col min="1538" max="1538" width="43.42578125" style="1" customWidth="1"/>
    <col min="1539" max="1539" width="17.85546875" style="1" customWidth="1"/>
    <col min="1540" max="1540" width="18.5703125" style="1" customWidth="1"/>
    <col min="1541" max="1541" width="17.140625" style="1" customWidth="1"/>
    <col min="1542" max="1542" width="1" style="1" customWidth="1"/>
    <col min="1543" max="1543" width="11.42578125" style="1" bestFit="1" customWidth="1"/>
    <col min="1544" max="1545" width="0" style="1" hidden="1" customWidth="1"/>
    <col min="1546" max="1546" width="5.28515625" style="1" customWidth="1"/>
    <col min="1547" max="1549" width="0" style="1" hidden="1" customWidth="1"/>
    <col min="1550" max="1550" width="5.28515625" style="1" customWidth="1"/>
    <col min="1551" max="1553" width="0" style="1" hidden="1" customWidth="1"/>
    <col min="1554" max="1554" width="15" style="1" bestFit="1" customWidth="1"/>
    <col min="1555" max="1555" width="11.7109375" style="1" bestFit="1" customWidth="1"/>
    <col min="1556" max="1558" width="4" style="1" bestFit="1" customWidth="1"/>
    <col min="1559" max="1559" width="3.5703125" style="1" bestFit="1" customWidth="1"/>
    <col min="1560" max="1561" width="0" style="1" hidden="1" customWidth="1"/>
    <col min="1562" max="1562" width="12.85546875" style="1" bestFit="1" customWidth="1"/>
    <col min="1563" max="1563" width="5.140625" style="1" bestFit="1" customWidth="1"/>
    <col min="1564" max="1564" width="8.85546875" style="1" customWidth="1"/>
    <col min="1565" max="1792" width="9.140625" style="1"/>
    <col min="1793" max="1793" width="1.28515625" style="1" customWidth="1"/>
    <col min="1794" max="1794" width="43.42578125" style="1" customWidth="1"/>
    <col min="1795" max="1795" width="17.85546875" style="1" customWidth="1"/>
    <col min="1796" max="1796" width="18.5703125" style="1" customWidth="1"/>
    <col min="1797" max="1797" width="17.140625" style="1" customWidth="1"/>
    <col min="1798" max="1798" width="1" style="1" customWidth="1"/>
    <col min="1799" max="1799" width="11.42578125" style="1" bestFit="1" customWidth="1"/>
    <col min="1800" max="1801" width="0" style="1" hidden="1" customWidth="1"/>
    <col min="1802" max="1802" width="5.28515625" style="1" customWidth="1"/>
    <col min="1803" max="1805" width="0" style="1" hidden="1" customWidth="1"/>
    <col min="1806" max="1806" width="5.28515625" style="1" customWidth="1"/>
    <col min="1807" max="1809" width="0" style="1" hidden="1" customWidth="1"/>
    <col min="1810" max="1810" width="15" style="1" bestFit="1" customWidth="1"/>
    <col min="1811" max="1811" width="11.7109375" style="1" bestFit="1" customWidth="1"/>
    <col min="1812" max="1814" width="4" style="1" bestFit="1" customWidth="1"/>
    <col min="1815" max="1815" width="3.5703125" style="1" bestFit="1" customWidth="1"/>
    <col min="1816" max="1817" width="0" style="1" hidden="1" customWidth="1"/>
    <col min="1818" max="1818" width="12.85546875" style="1" bestFit="1" customWidth="1"/>
    <col min="1819" max="1819" width="5.140625" style="1" bestFit="1" customWidth="1"/>
    <col min="1820" max="1820" width="8.85546875" style="1" customWidth="1"/>
    <col min="1821" max="2048" width="9.140625" style="1"/>
    <col min="2049" max="2049" width="1.28515625" style="1" customWidth="1"/>
    <col min="2050" max="2050" width="43.42578125" style="1" customWidth="1"/>
    <col min="2051" max="2051" width="17.85546875" style="1" customWidth="1"/>
    <col min="2052" max="2052" width="18.5703125" style="1" customWidth="1"/>
    <col min="2053" max="2053" width="17.140625" style="1" customWidth="1"/>
    <col min="2054" max="2054" width="1" style="1" customWidth="1"/>
    <col min="2055" max="2055" width="11.42578125" style="1" bestFit="1" customWidth="1"/>
    <col min="2056" max="2057" width="0" style="1" hidden="1" customWidth="1"/>
    <col min="2058" max="2058" width="5.28515625" style="1" customWidth="1"/>
    <col min="2059" max="2061" width="0" style="1" hidden="1" customWidth="1"/>
    <col min="2062" max="2062" width="5.28515625" style="1" customWidth="1"/>
    <col min="2063" max="2065" width="0" style="1" hidden="1" customWidth="1"/>
    <col min="2066" max="2066" width="15" style="1" bestFit="1" customWidth="1"/>
    <col min="2067" max="2067" width="11.7109375" style="1" bestFit="1" customWidth="1"/>
    <col min="2068" max="2070" width="4" style="1" bestFit="1" customWidth="1"/>
    <col min="2071" max="2071" width="3.5703125" style="1" bestFit="1" customWidth="1"/>
    <col min="2072" max="2073" width="0" style="1" hidden="1" customWidth="1"/>
    <col min="2074" max="2074" width="12.85546875" style="1" bestFit="1" customWidth="1"/>
    <col min="2075" max="2075" width="5.140625" style="1" bestFit="1" customWidth="1"/>
    <col min="2076" max="2076" width="8.85546875" style="1" customWidth="1"/>
    <col min="2077" max="2304" width="9.140625" style="1"/>
    <col min="2305" max="2305" width="1.28515625" style="1" customWidth="1"/>
    <col min="2306" max="2306" width="43.42578125" style="1" customWidth="1"/>
    <col min="2307" max="2307" width="17.85546875" style="1" customWidth="1"/>
    <col min="2308" max="2308" width="18.5703125" style="1" customWidth="1"/>
    <col min="2309" max="2309" width="17.140625" style="1" customWidth="1"/>
    <col min="2310" max="2310" width="1" style="1" customWidth="1"/>
    <col min="2311" max="2311" width="11.42578125" style="1" bestFit="1" customWidth="1"/>
    <col min="2312" max="2313" width="0" style="1" hidden="1" customWidth="1"/>
    <col min="2314" max="2314" width="5.28515625" style="1" customWidth="1"/>
    <col min="2315" max="2317" width="0" style="1" hidden="1" customWidth="1"/>
    <col min="2318" max="2318" width="5.28515625" style="1" customWidth="1"/>
    <col min="2319" max="2321" width="0" style="1" hidden="1" customWidth="1"/>
    <col min="2322" max="2322" width="15" style="1" bestFit="1" customWidth="1"/>
    <col min="2323" max="2323" width="11.7109375" style="1" bestFit="1" customWidth="1"/>
    <col min="2324" max="2326" width="4" style="1" bestFit="1" customWidth="1"/>
    <col min="2327" max="2327" width="3.5703125" style="1" bestFit="1" customWidth="1"/>
    <col min="2328" max="2329" width="0" style="1" hidden="1" customWidth="1"/>
    <col min="2330" max="2330" width="12.85546875" style="1" bestFit="1" customWidth="1"/>
    <col min="2331" max="2331" width="5.140625" style="1" bestFit="1" customWidth="1"/>
    <col min="2332" max="2332" width="8.85546875" style="1" customWidth="1"/>
    <col min="2333" max="2560" width="9.140625" style="1"/>
    <col min="2561" max="2561" width="1.28515625" style="1" customWidth="1"/>
    <col min="2562" max="2562" width="43.42578125" style="1" customWidth="1"/>
    <col min="2563" max="2563" width="17.85546875" style="1" customWidth="1"/>
    <col min="2564" max="2564" width="18.5703125" style="1" customWidth="1"/>
    <col min="2565" max="2565" width="17.140625" style="1" customWidth="1"/>
    <col min="2566" max="2566" width="1" style="1" customWidth="1"/>
    <col min="2567" max="2567" width="11.42578125" style="1" bestFit="1" customWidth="1"/>
    <col min="2568" max="2569" width="0" style="1" hidden="1" customWidth="1"/>
    <col min="2570" max="2570" width="5.28515625" style="1" customWidth="1"/>
    <col min="2571" max="2573" width="0" style="1" hidden="1" customWidth="1"/>
    <col min="2574" max="2574" width="5.28515625" style="1" customWidth="1"/>
    <col min="2575" max="2577" width="0" style="1" hidden="1" customWidth="1"/>
    <col min="2578" max="2578" width="15" style="1" bestFit="1" customWidth="1"/>
    <col min="2579" max="2579" width="11.7109375" style="1" bestFit="1" customWidth="1"/>
    <col min="2580" max="2582" width="4" style="1" bestFit="1" customWidth="1"/>
    <col min="2583" max="2583" width="3.5703125" style="1" bestFit="1" customWidth="1"/>
    <col min="2584" max="2585" width="0" style="1" hidden="1" customWidth="1"/>
    <col min="2586" max="2586" width="12.85546875" style="1" bestFit="1" customWidth="1"/>
    <col min="2587" max="2587" width="5.140625" style="1" bestFit="1" customWidth="1"/>
    <col min="2588" max="2588" width="8.85546875" style="1" customWidth="1"/>
    <col min="2589" max="2816" width="9.140625" style="1"/>
    <col min="2817" max="2817" width="1.28515625" style="1" customWidth="1"/>
    <col min="2818" max="2818" width="43.42578125" style="1" customWidth="1"/>
    <col min="2819" max="2819" width="17.85546875" style="1" customWidth="1"/>
    <col min="2820" max="2820" width="18.5703125" style="1" customWidth="1"/>
    <col min="2821" max="2821" width="17.140625" style="1" customWidth="1"/>
    <col min="2822" max="2822" width="1" style="1" customWidth="1"/>
    <col min="2823" max="2823" width="11.42578125" style="1" bestFit="1" customWidth="1"/>
    <col min="2824" max="2825" width="0" style="1" hidden="1" customWidth="1"/>
    <col min="2826" max="2826" width="5.28515625" style="1" customWidth="1"/>
    <col min="2827" max="2829" width="0" style="1" hidden="1" customWidth="1"/>
    <col min="2830" max="2830" width="5.28515625" style="1" customWidth="1"/>
    <col min="2831" max="2833" width="0" style="1" hidden="1" customWidth="1"/>
    <col min="2834" max="2834" width="15" style="1" bestFit="1" customWidth="1"/>
    <col min="2835" max="2835" width="11.7109375" style="1" bestFit="1" customWidth="1"/>
    <col min="2836" max="2838" width="4" style="1" bestFit="1" customWidth="1"/>
    <col min="2839" max="2839" width="3.5703125" style="1" bestFit="1" customWidth="1"/>
    <col min="2840" max="2841" width="0" style="1" hidden="1" customWidth="1"/>
    <col min="2842" max="2842" width="12.85546875" style="1" bestFit="1" customWidth="1"/>
    <col min="2843" max="2843" width="5.140625" style="1" bestFit="1" customWidth="1"/>
    <col min="2844" max="2844" width="8.85546875" style="1" customWidth="1"/>
    <col min="2845" max="3072" width="9.140625" style="1"/>
    <col min="3073" max="3073" width="1.28515625" style="1" customWidth="1"/>
    <col min="3074" max="3074" width="43.42578125" style="1" customWidth="1"/>
    <col min="3075" max="3075" width="17.85546875" style="1" customWidth="1"/>
    <col min="3076" max="3076" width="18.5703125" style="1" customWidth="1"/>
    <col min="3077" max="3077" width="17.140625" style="1" customWidth="1"/>
    <col min="3078" max="3078" width="1" style="1" customWidth="1"/>
    <col min="3079" max="3079" width="11.42578125" style="1" bestFit="1" customWidth="1"/>
    <col min="3080" max="3081" width="0" style="1" hidden="1" customWidth="1"/>
    <col min="3082" max="3082" width="5.28515625" style="1" customWidth="1"/>
    <col min="3083" max="3085" width="0" style="1" hidden="1" customWidth="1"/>
    <col min="3086" max="3086" width="5.28515625" style="1" customWidth="1"/>
    <col min="3087" max="3089" width="0" style="1" hidden="1" customWidth="1"/>
    <col min="3090" max="3090" width="15" style="1" bestFit="1" customWidth="1"/>
    <col min="3091" max="3091" width="11.7109375" style="1" bestFit="1" customWidth="1"/>
    <col min="3092" max="3094" width="4" style="1" bestFit="1" customWidth="1"/>
    <col min="3095" max="3095" width="3.5703125" style="1" bestFit="1" customWidth="1"/>
    <col min="3096" max="3097" width="0" style="1" hidden="1" customWidth="1"/>
    <col min="3098" max="3098" width="12.85546875" style="1" bestFit="1" customWidth="1"/>
    <col min="3099" max="3099" width="5.140625" style="1" bestFit="1" customWidth="1"/>
    <col min="3100" max="3100" width="8.85546875" style="1" customWidth="1"/>
    <col min="3101" max="3328" width="9.140625" style="1"/>
    <col min="3329" max="3329" width="1.28515625" style="1" customWidth="1"/>
    <col min="3330" max="3330" width="43.42578125" style="1" customWidth="1"/>
    <col min="3331" max="3331" width="17.85546875" style="1" customWidth="1"/>
    <col min="3332" max="3332" width="18.5703125" style="1" customWidth="1"/>
    <col min="3333" max="3333" width="17.140625" style="1" customWidth="1"/>
    <col min="3334" max="3334" width="1" style="1" customWidth="1"/>
    <col min="3335" max="3335" width="11.42578125" style="1" bestFit="1" customWidth="1"/>
    <col min="3336" max="3337" width="0" style="1" hidden="1" customWidth="1"/>
    <col min="3338" max="3338" width="5.28515625" style="1" customWidth="1"/>
    <col min="3339" max="3341" width="0" style="1" hidden="1" customWidth="1"/>
    <col min="3342" max="3342" width="5.28515625" style="1" customWidth="1"/>
    <col min="3343" max="3345" width="0" style="1" hidden="1" customWidth="1"/>
    <col min="3346" max="3346" width="15" style="1" bestFit="1" customWidth="1"/>
    <col min="3347" max="3347" width="11.7109375" style="1" bestFit="1" customWidth="1"/>
    <col min="3348" max="3350" width="4" style="1" bestFit="1" customWidth="1"/>
    <col min="3351" max="3351" width="3.5703125" style="1" bestFit="1" customWidth="1"/>
    <col min="3352" max="3353" width="0" style="1" hidden="1" customWidth="1"/>
    <col min="3354" max="3354" width="12.85546875" style="1" bestFit="1" customWidth="1"/>
    <col min="3355" max="3355" width="5.140625" style="1" bestFit="1" customWidth="1"/>
    <col min="3356" max="3356" width="8.85546875" style="1" customWidth="1"/>
    <col min="3357" max="3584" width="9.140625" style="1"/>
    <col min="3585" max="3585" width="1.28515625" style="1" customWidth="1"/>
    <col min="3586" max="3586" width="43.42578125" style="1" customWidth="1"/>
    <col min="3587" max="3587" width="17.85546875" style="1" customWidth="1"/>
    <col min="3588" max="3588" width="18.5703125" style="1" customWidth="1"/>
    <col min="3589" max="3589" width="17.140625" style="1" customWidth="1"/>
    <col min="3590" max="3590" width="1" style="1" customWidth="1"/>
    <col min="3591" max="3591" width="11.42578125" style="1" bestFit="1" customWidth="1"/>
    <col min="3592" max="3593" width="0" style="1" hidden="1" customWidth="1"/>
    <col min="3594" max="3594" width="5.28515625" style="1" customWidth="1"/>
    <col min="3595" max="3597" width="0" style="1" hidden="1" customWidth="1"/>
    <col min="3598" max="3598" width="5.28515625" style="1" customWidth="1"/>
    <col min="3599" max="3601" width="0" style="1" hidden="1" customWidth="1"/>
    <col min="3602" max="3602" width="15" style="1" bestFit="1" customWidth="1"/>
    <col min="3603" max="3603" width="11.7109375" style="1" bestFit="1" customWidth="1"/>
    <col min="3604" max="3606" width="4" style="1" bestFit="1" customWidth="1"/>
    <col min="3607" max="3607" width="3.5703125" style="1" bestFit="1" customWidth="1"/>
    <col min="3608" max="3609" width="0" style="1" hidden="1" customWidth="1"/>
    <col min="3610" max="3610" width="12.85546875" style="1" bestFit="1" customWidth="1"/>
    <col min="3611" max="3611" width="5.140625" style="1" bestFit="1" customWidth="1"/>
    <col min="3612" max="3612" width="8.85546875" style="1" customWidth="1"/>
    <col min="3613" max="3840" width="9.140625" style="1"/>
    <col min="3841" max="3841" width="1.28515625" style="1" customWidth="1"/>
    <col min="3842" max="3842" width="43.42578125" style="1" customWidth="1"/>
    <col min="3843" max="3843" width="17.85546875" style="1" customWidth="1"/>
    <col min="3844" max="3844" width="18.5703125" style="1" customWidth="1"/>
    <col min="3845" max="3845" width="17.140625" style="1" customWidth="1"/>
    <col min="3846" max="3846" width="1" style="1" customWidth="1"/>
    <col min="3847" max="3847" width="11.42578125" style="1" bestFit="1" customWidth="1"/>
    <col min="3848" max="3849" width="0" style="1" hidden="1" customWidth="1"/>
    <col min="3850" max="3850" width="5.28515625" style="1" customWidth="1"/>
    <col min="3851" max="3853" width="0" style="1" hidden="1" customWidth="1"/>
    <col min="3854" max="3854" width="5.28515625" style="1" customWidth="1"/>
    <col min="3855" max="3857" width="0" style="1" hidden="1" customWidth="1"/>
    <col min="3858" max="3858" width="15" style="1" bestFit="1" customWidth="1"/>
    <col min="3859" max="3859" width="11.7109375" style="1" bestFit="1" customWidth="1"/>
    <col min="3860" max="3862" width="4" style="1" bestFit="1" customWidth="1"/>
    <col min="3863" max="3863" width="3.5703125" style="1" bestFit="1" customWidth="1"/>
    <col min="3864" max="3865" width="0" style="1" hidden="1" customWidth="1"/>
    <col min="3866" max="3866" width="12.85546875" style="1" bestFit="1" customWidth="1"/>
    <col min="3867" max="3867" width="5.140625" style="1" bestFit="1" customWidth="1"/>
    <col min="3868" max="3868" width="8.85546875" style="1" customWidth="1"/>
    <col min="3869" max="4096" width="9.140625" style="1"/>
    <col min="4097" max="4097" width="1.28515625" style="1" customWidth="1"/>
    <col min="4098" max="4098" width="43.42578125" style="1" customWidth="1"/>
    <col min="4099" max="4099" width="17.85546875" style="1" customWidth="1"/>
    <col min="4100" max="4100" width="18.5703125" style="1" customWidth="1"/>
    <col min="4101" max="4101" width="17.140625" style="1" customWidth="1"/>
    <col min="4102" max="4102" width="1" style="1" customWidth="1"/>
    <col min="4103" max="4103" width="11.42578125" style="1" bestFit="1" customWidth="1"/>
    <col min="4104" max="4105" width="0" style="1" hidden="1" customWidth="1"/>
    <col min="4106" max="4106" width="5.28515625" style="1" customWidth="1"/>
    <col min="4107" max="4109" width="0" style="1" hidden="1" customWidth="1"/>
    <col min="4110" max="4110" width="5.28515625" style="1" customWidth="1"/>
    <col min="4111" max="4113" width="0" style="1" hidden="1" customWidth="1"/>
    <col min="4114" max="4114" width="15" style="1" bestFit="1" customWidth="1"/>
    <col min="4115" max="4115" width="11.7109375" style="1" bestFit="1" customWidth="1"/>
    <col min="4116" max="4118" width="4" style="1" bestFit="1" customWidth="1"/>
    <col min="4119" max="4119" width="3.5703125" style="1" bestFit="1" customWidth="1"/>
    <col min="4120" max="4121" width="0" style="1" hidden="1" customWidth="1"/>
    <col min="4122" max="4122" width="12.85546875" style="1" bestFit="1" customWidth="1"/>
    <col min="4123" max="4123" width="5.140625" style="1" bestFit="1" customWidth="1"/>
    <col min="4124" max="4124" width="8.85546875" style="1" customWidth="1"/>
    <col min="4125" max="4352" width="9.140625" style="1"/>
    <col min="4353" max="4353" width="1.28515625" style="1" customWidth="1"/>
    <col min="4354" max="4354" width="43.42578125" style="1" customWidth="1"/>
    <col min="4355" max="4355" width="17.85546875" style="1" customWidth="1"/>
    <col min="4356" max="4356" width="18.5703125" style="1" customWidth="1"/>
    <col min="4357" max="4357" width="17.140625" style="1" customWidth="1"/>
    <col min="4358" max="4358" width="1" style="1" customWidth="1"/>
    <col min="4359" max="4359" width="11.42578125" style="1" bestFit="1" customWidth="1"/>
    <col min="4360" max="4361" width="0" style="1" hidden="1" customWidth="1"/>
    <col min="4362" max="4362" width="5.28515625" style="1" customWidth="1"/>
    <col min="4363" max="4365" width="0" style="1" hidden="1" customWidth="1"/>
    <col min="4366" max="4366" width="5.28515625" style="1" customWidth="1"/>
    <col min="4367" max="4369" width="0" style="1" hidden="1" customWidth="1"/>
    <col min="4370" max="4370" width="15" style="1" bestFit="1" customWidth="1"/>
    <col min="4371" max="4371" width="11.7109375" style="1" bestFit="1" customWidth="1"/>
    <col min="4372" max="4374" width="4" style="1" bestFit="1" customWidth="1"/>
    <col min="4375" max="4375" width="3.5703125" style="1" bestFit="1" customWidth="1"/>
    <col min="4376" max="4377" width="0" style="1" hidden="1" customWidth="1"/>
    <col min="4378" max="4378" width="12.85546875" style="1" bestFit="1" customWidth="1"/>
    <col min="4379" max="4379" width="5.140625" style="1" bestFit="1" customWidth="1"/>
    <col min="4380" max="4380" width="8.85546875" style="1" customWidth="1"/>
    <col min="4381" max="4608" width="9.140625" style="1"/>
    <col min="4609" max="4609" width="1.28515625" style="1" customWidth="1"/>
    <col min="4610" max="4610" width="43.42578125" style="1" customWidth="1"/>
    <col min="4611" max="4611" width="17.85546875" style="1" customWidth="1"/>
    <col min="4612" max="4612" width="18.5703125" style="1" customWidth="1"/>
    <col min="4613" max="4613" width="17.140625" style="1" customWidth="1"/>
    <col min="4614" max="4614" width="1" style="1" customWidth="1"/>
    <col min="4615" max="4615" width="11.42578125" style="1" bestFit="1" customWidth="1"/>
    <col min="4616" max="4617" width="0" style="1" hidden="1" customWidth="1"/>
    <col min="4618" max="4618" width="5.28515625" style="1" customWidth="1"/>
    <col min="4619" max="4621" width="0" style="1" hidden="1" customWidth="1"/>
    <col min="4622" max="4622" width="5.28515625" style="1" customWidth="1"/>
    <col min="4623" max="4625" width="0" style="1" hidden="1" customWidth="1"/>
    <col min="4626" max="4626" width="15" style="1" bestFit="1" customWidth="1"/>
    <col min="4627" max="4627" width="11.7109375" style="1" bestFit="1" customWidth="1"/>
    <col min="4628" max="4630" width="4" style="1" bestFit="1" customWidth="1"/>
    <col min="4631" max="4631" width="3.5703125" style="1" bestFit="1" customWidth="1"/>
    <col min="4632" max="4633" width="0" style="1" hidden="1" customWidth="1"/>
    <col min="4634" max="4634" width="12.85546875" style="1" bestFit="1" customWidth="1"/>
    <col min="4635" max="4635" width="5.140625" style="1" bestFit="1" customWidth="1"/>
    <col min="4636" max="4636" width="8.85546875" style="1" customWidth="1"/>
    <col min="4637" max="4864" width="9.140625" style="1"/>
    <col min="4865" max="4865" width="1.28515625" style="1" customWidth="1"/>
    <col min="4866" max="4866" width="43.42578125" style="1" customWidth="1"/>
    <col min="4867" max="4867" width="17.85546875" style="1" customWidth="1"/>
    <col min="4868" max="4868" width="18.5703125" style="1" customWidth="1"/>
    <col min="4869" max="4869" width="17.140625" style="1" customWidth="1"/>
    <col min="4870" max="4870" width="1" style="1" customWidth="1"/>
    <col min="4871" max="4871" width="11.42578125" style="1" bestFit="1" customWidth="1"/>
    <col min="4872" max="4873" width="0" style="1" hidden="1" customWidth="1"/>
    <col min="4874" max="4874" width="5.28515625" style="1" customWidth="1"/>
    <col min="4875" max="4877" width="0" style="1" hidden="1" customWidth="1"/>
    <col min="4878" max="4878" width="5.28515625" style="1" customWidth="1"/>
    <col min="4879" max="4881" width="0" style="1" hidden="1" customWidth="1"/>
    <col min="4882" max="4882" width="15" style="1" bestFit="1" customWidth="1"/>
    <col min="4883" max="4883" width="11.7109375" style="1" bestFit="1" customWidth="1"/>
    <col min="4884" max="4886" width="4" style="1" bestFit="1" customWidth="1"/>
    <col min="4887" max="4887" width="3.5703125" style="1" bestFit="1" customWidth="1"/>
    <col min="4888" max="4889" width="0" style="1" hidden="1" customWidth="1"/>
    <col min="4890" max="4890" width="12.85546875" style="1" bestFit="1" customWidth="1"/>
    <col min="4891" max="4891" width="5.140625" style="1" bestFit="1" customWidth="1"/>
    <col min="4892" max="4892" width="8.85546875" style="1" customWidth="1"/>
    <col min="4893" max="5120" width="9.140625" style="1"/>
    <col min="5121" max="5121" width="1.28515625" style="1" customWidth="1"/>
    <col min="5122" max="5122" width="43.42578125" style="1" customWidth="1"/>
    <col min="5123" max="5123" width="17.85546875" style="1" customWidth="1"/>
    <col min="5124" max="5124" width="18.5703125" style="1" customWidth="1"/>
    <col min="5125" max="5125" width="17.140625" style="1" customWidth="1"/>
    <col min="5126" max="5126" width="1" style="1" customWidth="1"/>
    <col min="5127" max="5127" width="11.42578125" style="1" bestFit="1" customWidth="1"/>
    <col min="5128" max="5129" width="0" style="1" hidden="1" customWidth="1"/>
    <col min="5130" max="5130" width="5.28515625" style="1" customWidth="1"/>
    <col min="5131" max="5133" width="0" style="1" hidden="1" customWidth="1"/>
    <col min="5134" max="5134" width="5.28515625" style="1" customWidth="1"/>
    <col min="5135" max="5137" width="0" style="1" hidden="1" customWidth="1"/>
    <col min="5138" max="5138" width="15" style="1" bestFit="1" customWidth="1"/>
    <col min="5139" max="5139" width="11.7109375" style="1" bestFit="1" customWidth="1"/>
    <col min="5140" max="5142" width="4" style="1" bestFit="1" customWidth="1"/>
    <col min="5143" max="5143" width="3.5703125" style="1" bestFit="1" customWidth="1"/>
    <col min="5144" max="5145" width="0" style="1" hidden="1" customWidth="1"/>
    <col min="5146" max="5146" width="12.85546875" style="1" bestFit="1" customWidth="1"/>
    <col min="5147" max="5147" width="5.140625" style="1" bestFit="1" customWidth="1"/>
    <col min="5148" max="5148" width="8.85546875" style="1" customWidth="1"/>
    <col min="5149" max="5376" width="9.140625" style="1"/>
    <col min="5377" max="5377" width="1.28515625" style="1" customWidth="1"/>
    <col min="5378" max="5378" width="43.42578125" style="1" customWidth="1"/>
    <col min="5379" max="5379" width="17.85546875" style="1" customWidth="1"/>
    <col min="5380" max="5380" width="18.5703125" style="1" customWidth="1"/>
    <col min="5381" max="5381" width="17.140625" style="1" customWidth="1"/>
    <col min="5382" max="5382" width="1" style="1" customWidth="1"/>
    <col min="5383" max="5383" width="11.42578125" style="1" bestFit="1" customWidth="1"/>
    <col min="5384" max="5385" width="0" style="1" hidden="1" customWidth="1"/>
    <col min="5386" max="5386" width="5.28515625" style="1" customWidth="1"/>
    <col min="5387" max="5389" width="0" style="1" hidden="1" customWidth="1"/>
    <col min="5390" max="5390" width="5.28515625" style="1" customWidth="1"/>
    <col min="5391" max="5393" width="0" style="1" hidden="1" customWidth="1"/>
    <col min="5394" max="5394" width="15" style="1" bestFit="1" customWidth="1"/>
    <col min="5395" max="5395" width="11.7109375" style="1" bestFit="1" customWidth="1"/>
    <col min="5396" max="5398" width="4" style="1" bestFit="1" customWidth="1"/>
    <col min="5399" max="5399" width="3.5703125" style="1" bestFit="1" customWidth="1"/>
    <col min="5400" max="5401" width="0" style="1" hidden="1" customWidth="1"/>
    <col min="5402" max="5402" width="12.85546875" style="1" bestFit="1" customWidth="1"/>
    <col min="5403" max="5403" width="5.140625" style="1" bestFit="1" customWidth="1"/>
    <col min="5404" max="5404" width="8.85546875" style="1" customWidth="1"/>
    <col min="5405" max="5632" width="9.140625" style="1"/>
    <col min="5633" max="5633" width="1.28515625" style="1" customWidth="1"/>
    <col min="5634" max="5634" width="43.42578125" style="1" customWidth="1"/>
    <col min="5635" max="5635" width="17.85546875" style="1" customWidth="1"/>
    <col min="5636" max="5636" width="18.5703125" style="1" customWidth="1"/>
    <col min="5637" max="5637" width="17.140625" style="1" customWidth="1"/>
    <col min="5638" max="5638" width="1" style="1" customWidth="1"/>
    <col min="5639" max="5639" width="11.42578125" style="1" bestFit="1" customWidth="1"/>
    <col min="5640" max="5641" width="0" style="1" hidden="1" customWidth="1"/>
    <col min="5642" max="5642" width="5.28515625" style="1" customWidth="1"/>
    <col min="5643" max="5645" width="0" style="1" hidden="1" customWidth="1"/>
    <col min="5646" max="5646" width="5.28515625" style="1" customWidth="1"/>
    <col min="5647" max="5649" width="0" style="1" hidden="1" customWidth="1"/>
    <col min="5650" max="5650" width="15" style="1" bestFit="1" customWidth="1"/>
    <col min="5651" max="5651" width="11.7109375" style="1" bestFit="1" customWidth="1"/>
    <col min="5652" max="5654" width="4" style="1" bestFit="1" customWidth="1"/>
    <col min="5655" max="5655" width="3.5703125" style="1" bestFit="1" customWidth="1"/>
    <col min="5656" max="5657" width="0" style="1" hidden="1" customWidth="1"/>
    <col min="5658" max="5658" width="12.85546875" style="1" bestFit="1" customWidth="1"/>
    <col min="5659" max="5659" width="5.140625" style="1" bestFit="1" customWidth="1"/>
    <col min="5660" max="5660" width="8.85546875" style="1" customWidth="1"/>
    <col min="5661" max="5888" width="9.140625" style="1"/>
    <col min="5889" max="5889" width="1.28515625" style="1" customWidth="1"/>
    <col min="5890" max="5890" width="43.42578125" style="1" customWidth="1"/>
    <col min="5891" max="5891" width="17.85546875" style="1" customWidth="1"/>
    <col min="5892" max="5892" width="18.5703125" style="1" customWidth="1"/>
    <col min="5893" max="5893" width="17.140625" style="1" customWidth="1"/>
    <col min="5894" max="5894" width="1" style="1" customWidth="1"/>
    <col min="5895" max="5895" width="11.42578125" style="1" bestFit="1" customWidth="1"/>
    <col min="5896" max="5897" width="0" style="1" hidden="1" customWidth="1"/>
    <col min="5898" max="5898" width="5.28515625" style="1" customWidth="1"/>
    <col min="5899" max="5901" width="0" style="1" hidden="1" customWidth="1"/>
    <col min="5902" max="5902" width="5.28515625" style="1" customWidth="1"/>
    <col min="5903" max="5905" width="0" style="1" hidden="1" customWidth="1"/>
    <col min="5906" max="5906" width="15" style="1" bestFit="1" customWidth="1"/>
    <col min="5907" max="5907" width="11.7109375" style="1" bestFit="1" customWidth="1"/>
    <col min="5908" max="5910" width="4" style="1" bestFit="1" customWidth="1"/>
    <col min="5911" max="5911" width="3.5703125" style="1" bestFit="1" customWidth="1"/>
    <col min="5912" max="5913" width="0" style="1" hidden="1" customWidth="1"/>
    <col min="5914" max="5914" width="12.85546875" style="1" bestFit="1" customWidth="1"/>
    <col min="5915" max="5915" width="5.140625" style="1" bestFit="1" customWidth="1"/>
    <col min="5916" max="5916" width="8.85546875" style="1" customWidth="1"/>
    <col min="5917" max="6144" width="9.140625" style="1"/>
    <col min="6145" max="6145" width="1.28515625" style="1" customWidth="1"/>
    <col min="6146" max="6146" width="43.42578125" style="1" customWidth="1"/>
    <col min="6147" max="6147" width="17.85546875" style="1" customWidth="1"/>
    <col min="6148" max="6148" width="18.5703125" style="1" customWidth="1"/>
    <col min="6149" max="6149" width="17.140625" style="1" customWidth="1"/>
    <col min="6150" max="6150" width="1" style="1" customWidth="1"/>
    <col min="6151" max="6151" width="11.42578125" style="1" bestFit="1" customWidth="1"/>
    <col min="6152" max="6153" width="0" style="1" hidden="1" customWidth="1"/>
    <col min="6154" max="6154" width="5.28515625" style="1" customWidth="1"/>
    <col min="6155" max="6157" width="0" style="1" hidden="1" customWidth="1"/>
    <col min="6158" max="6158" width="5.28515625" style="1" customWidth="1"/>
    <col min="6159" max="6161" width="0" style="1" hidden="1" customWidth="1"/>
    <col min="6162" max="6162" width="15" style="1" bestFit="1" customWidth="1"/>
    <col min="6163" max="6163" width="11.7109375" style="1" bestFit="1" customWidth="1"/>
    <col min="6164" max="6166" width="4" style="1" bestFit="1" customWidth="1"/>
    <col min="6167" max="6167" width="3.5703125" style="1" bestFit="1" customWidth="1"/>
    <col min="6168" max="6169" width="0" style="1" hidden="1" customWidth="1"/>
    <col min="6170" max="6170" width="12.85546875" style="1" bestFit="1" customWidth="1"/>
    <col min="6171" max="6171" width="5.140625" style="1" bestFit="1" customWidth="1"/>
    <col min="6172" max="6172" width="8.85546875" style="1" customWidth="1"/>
    <col min="6173" max="6400" width="9.140625" style="1"/>
    <col min="6401" max="6401" width="1.28515625" style="1" customWidth="1"/>
    <col min="6402" max="6402" width="43.42578125" style="1" customWidth="1"/>
    <col min="6403" max="6403" width="17.85546875" style="1" customWidth="1"/>
    <col min="6404" max="6404" width="18.5703125" style="1" customWidth="1"/>
    <col min="6405" max="6405" width="17.140625" style="1" customWidth="1"/>
    <col min="6406" max="6406" width="1" style="1" customWidth="1"/>
    <col min="6407" max="6407" width="11.42578125" style="1" bestFit="1" customWidth="1"/>
    <col min="6408" max="6409" width="0" style="1" hidden="1" customWidth="1"/>
    <col min="6410" max="6410" width="5.28515625" style="1" customWidth="1"/>
    <col min="6411" max="6413" width="0" style="1" hidden="1" customWidth="1"/>
    <col min="6414" max="6414" width="5.28515625" style="1" customWidth="1"/>
    <col min="6415" max="6417" width="0" style="1" hidden="1" customWidth="1"/>
    <col min="6418" max="6418" width="15" style="1" bestFit="1" customWidth="1"/>
    <col min="6419" max="6419" width="11.7109375" style="1" bestFit="1" customWidth="1"/>
    <col min="6420" max="6422" width="4" style="1" bestFit="1" customWidth="1"/>
    <col min="6423" max="6423" width="3.5703125" style="1" bestFit="1" customWidth="1"/>
    <col min="6424" max="6425" width="0" style="1" hidden="1" customWidth="1"/>
    <col min="6426" max="6426" width="12.85546875" style="1" bestFit="1" customWidth="1"/>
    <col min="6427" max="6427" width="5.140625" style="1" bestFit="1" customWidth="1"/>
    <col min="6428" max="6428" width="8.85546875" style="1" customWidth="1"/>
    <col min="6429" max="6656" width="9.140625" style="1"/>
    <col min="6657" max="6657" width="1.28515625" style="1" customWidth="1"/>
    <col min="6658" max="6658" width="43.42578125" style="1" customWidth="1"/>
    <col min="6659" max="6659" width="17.85546875" style="1" customWidth="1"/>
    <col min="6660" max="6660" width="18.5703125" style="1" customWidth="1"/>
    <col min="6661" max="6661" width="17.140625" style="1" customWidth="1"/>
    <col min="6662" max="6662" width="1" style="1" customWidth="1"/>
    <col min="6663" max="6663" width="11.42578125" style="1" bestFit="1" customWidth="1"/>
    <col min="6664" max="6665" width="0" style="1" hidden="1" customWidth="1"/>
    <col min="6666" max="6666" width="5.28515625" style="1" customWidth="1"/>
    <col min="6667" max="6669" width="0" style="1" hidden="1" customWidth="1"/>
    <col min="6670" max="6670" width="5.28515625" style="1" customWidth="1"/>
    <col min="6671" max="6673" width="0" style="1" hidden="1" customWidth="1"/>
    <col min="6674" max="6674" width="15" style="1" bestFit="1" customWidth="1"/>
    <col min="6675" max="6675" width="11.7109375" style="1" bestFit="1" customWidth="1"/>
    <col min="6676" max="6678" width="4" style="1" bestFit="1" customWidth="1"/>
    <col min="6679" max="6679" width="3.5703125" style="1" bestFit="1" customWidth="1"/>
    <col min="6680" max="6681" width="0" style="1" hidden="1" customWidth="1"/>
    <col min="6682" max="6682" width="12.85546875" style="1" bestFit="1" customWidth="1"/>
    <col min="6683" max="6683" width="5.140625" style="1" bestFit="1" customWidth="1"/>
    <col min="6684" max="6684" width="8.85546875" style="1" customWidth="1"/>
    <col min="6685" max="6912" width="9.140625" style="1"/>
    <col min="6913" max="6913" width="1.28515625" style="1" customWidth="1"/>
    <col min="6914" max="6914" width="43.42578125" style="1" customWidth="1"/>
    <col min="6915" max="6915" width="17.85546875" style="1" customWidth="1"/>
    <col min="6916" max="6916" width="18.5703125" style="1" customWidth="1"/>
    <col min="6917" max="6917" width="17.140625" style="1" customWidth="1"/>
    <col min="6918" max="6918" width="1" style="1" customWidth="1"/>
    <col min="6919" max="6919" width="11.42578125" style="1" bestFit="1" customWidth="1"/>
    <col min="6920" max="6921" width="0" style="1" hidden="1" customWidth="1"/>
    <col min="6922" max="6922" width="5.28515625" style="1" customWidth="1"/>
    <col min="6923" max="6925" width="0" style="1" hidden="1" customWidth="1"/>
    <col min="6926" max="6926" width="5.28515625" style="1" customWidth="1"/>
    <col min="6927" max="6929" width="0" style="1" hidden="1" customWidth="1"/>
    <col min="6930" max="6930" width="15" style="1" bestFit="1" customWidth="1"/>
    <col min="6931" max="6931" width="11.7109375" style="1" bestFit="1" customWidth="1"/>
    <col min="6932" max="6934" width="4" style="1" bestFit="1" customWidth="1"/>
    <col min="6935" max="6935" width="3.5703125" style="1" bestFit="1" customWidth="1"/>
    <col min="6936" max="6937" width="0" style="1" hidden="1" customWidth="1"/>
    <col min="6938" max="6938" width="12.85546875" style="1" bestFit="1" customWidth="1"/>
    <col min="6939" max="6939" width="5.140625" style="1" bestFit="1" customWidth="1"/>
    <col min="6940" max="6940" width="8.85546875" style="1" customWidth="1"/>
    <col min="6941" max="7168" width="9.140625" style="1"/>
    <col min="7169" max="7169" width="1.28515625" style="1" customWidth="1"/>
    <col min="7170" max="7170" width="43.42578125" style="1" customWidth="1"/>
    <col min="7171" max="7171" width="17.85546875" style="1" customWidth="1"/>
    <col min="7172" max="7172" width="18.5703125" style="1" customWidth="1"/>
    <col min="7173" max="7173" width="17.140625" style="1" customWidth="1"/>
    <col min="7174" max="7174" width="1" style="1" customWidth="1"/>
    <col min="7175" max="7175" width="11.42578125" style="1" bestFit="1" customWidth="1"/>
    <col min="7176" max="7177" width="0" style="1" hidden="1" customWidth="1"/>
    <col min="7178" max="7178" width="5.28515625" style="1" customWidth="1"/>
    <col min="7179" max="7181" width="0" style="1" hidden="1" customWidth="1"/>
    <col min="7182" max="7182" width="5.28515625" style="1" customWidth="1"/>
    <col min="7183" max="7185" width="0" style="1" hidden="1" customWidth="1"/>
    <col min="7186" max="7186" width="15" style="1" bestFit="1" customWidth="1"/>
    <col min="7187" max="7187" width="11.7109375" style="1" bestFit="1" customWidth="1"/>
    <col min="7188" max="7190" width="4" style="1" bestFit="1" customWidth="1"/>
    <col min="7191" max="7191" width="3.5703125" style="1" bestFit="1" customWidth="1"/>
    <col min="7192" max="7193" width="0" style="1" hidden="1" customWidth="1"/>
    <col min="7194" max="7194" width="12.85546875" style="1" bestFit="1" customWidth="1"/>
    <col min="7195" max="7195" width="5.140625" style="1" bestFit="1" customWidth="1"/>
    <col min="7196" max="7196" width="8.85546875" style="1" customWidth="1"/>
    <col min="7197" max="7424" width="9.140625" style="1"/>
    <col min="7425" max="7425" width="1.28515625" style="1" customWidth="1"/>
    <col min="7426" max="7426" width="43.42578125" style="1" customWidth="1"/>
    <col min="7427" max="7427" width="17.85546875" style="1" customWidth="1"/>
    <col min="7428" max="7428" width="18.5703125" style="1" customWidth="1"/>
    <col min="7429" max="7429" width="17.140625" style="1" customWidth="1"/>
    <col min="7430" max="7430" width="1" style="1" customWidth="1"/>
    <col min="7431" max="7431" width="11.42578125" style="1" bestFit="1" customWidth="1"/>
    <col min="7432" max="7433" width="0" style="1" hidden="1" customWidth="1"/>
    <col min="7434" max="7434" width="5.28515625" style="1" customWidth="1"/>
    <col min="7435" max="7437" width="0" style="1" hidden="1" customWidth="1"/>
    <col min="7438" max="7438" width="5.28515625" style="1" customWidth="1"/>
    <col min="7439" max="7441" width="0" style="1" hidden="1" customWidth="1"/>
    <col min="7442" max="7442" width="15" style="1" bestFit="1" customWidth="1"/>
    <col min="7443" max="7443" width="11.7109375" style="1" bestFit="1" customWidth="1"/>
    <col min="7444" max="7446" width="4" style="1" bestFit="1" customWidth="1"/>
    <col min="7447" max="7447" width="3.5703125" style="1" bestFit="1" customWidth="1"/>
    <col min="7448" max="7449" width="0" style="1" hidden="1" customWidth="1"/>
    <col min="7450" max="7450" width="12.85546875" style="1" bestFit="1" customWidth="1"/>
    <col min="7451" max="7451" width="5.140625" style="1" bestFit="1" customWidth="1"/>
    <col min="7452" max="7452" width="8.85546875" style="1" customWidth="1"/>
    <col min="7453" max="7680" width="9.140625" style="1"/>
    <col min="7681" max="7681" width="1.28515625" style="1" customWidth="1"/>
    <col min="7682" max="7682" width="43.42578125" style="1" customWidth="1"/>
    <col min="7683" max="7683" width="17.85546875" style="1" customWidth="1"/>
    <col min="7684" max="7684" width="18.5703125" style="1" customWidth="1"/>
    <col min="7685" max="7685" width="17.140625" style="1" customWidth="1"/>
    <col min="7686" max="7686" width="1" style="1" customWidth="1"/>
    <col min="7687" max="7687" width="11.42578125" style="1" bestFit="1" customWidth="1"/>
    <col min="7688" max="7689" width="0" style="1" hidden="1" customWidth="1"/>
    <col min="7690" max="7690" width="5.28515625" style="1" customWidth="1"/>
    <col min="7691" max="7693" width="0" style="1" hidden="1" customWidth="1"/>
    <col min="7694" max="7694" width="5.28515625" style="1" customWidth="1"/>
    <col min="7695" max="7697" width="0" style="1" hidden="1" customWidth="1"/>
    <col min="7698" max="7698" width="15" style="1" bestFit="1" customWidth="1"/>
    <col min="7699" max="7699" width="11.7109375" style="1" bestFit="1" customWidth="1"/>
    <col min="7700" max="7702" width="4" style="1" bestFit="1" customWidth="1"/>
    <col min="7703" max="7703" width="3.5703125" style="1" bestFit="1" customWidth="1"/>
    <col min="7704" max="7705" width="0" style="1" hidden="1" customWidth="1"/>
    <col min="7706" max="7706" width="12.85546875" style="1" bestFit="1" customWidth="1"/>
    <col min="7707" max="7707" width="5.140625" style="1" bestFit="1" customWidth="1"/>
    <col min="7708" max="7708" width="8.85546875" style="1" customWidth="1"/>
    <col min="7709" max="7936" width="9.140625" style="1"/>
    <col min="7937" max="7937" width="1.28515625" style="1" customWidth="1"/>
    <col min="7938" max="7938" width="43.42578125" style="1" customWidth="1"/>
    <col min="7939" max="7939" width="17.85546875" style="1" customWidth="1"/>
    <col min="7940" max="7940" width="18.5703125" style="1" customWidth="1"/>
    <col min="7941" max="7941" width="17.140625" style="1" customWidth="1"/>
    <col min="7942" max="7942" width="1" style="1" customWidth="1"/>
    <col min="7943" max="7943" width="11.42578125" style="1" bestFit="1" customWidth="1"/>
    <col min="7944" max="7945" width="0" style="1" hidden="1" customWidth="1"/>
    <col min="7946" max="7946" width="5.28515625" style="1" customWidth="1"/>
    <col min="7947" max="7949" width="0" style="1" hidden="1" customWidth="1"/>
    <col min="7950" max="7950" width="5.28515625" style="1" customWidth="1"/>
    <col min="7951" max="7953" width="0" style="1" hidden="1" customWidth="1"/>
    <col min="7954" max="7954" width="15" style="1" bestFit="1" customWidth="1"/>
    <col min="7955" max="7955" width="11.7109375" style="1" bestFit="1" customWidth="1"/>
    <col min="7956" max="7958" width="4" style="1" bestFit="1" customWidth="1"/>
    <col min="7959" max="7959" width="3.5703125" style="1" bestFit="1" customWidth="1"/>
    <col min="7960" max="7961" width="0" style="1" hidden="1" customWidth="1"/>
    <col min="7962" max="7962" width="12.85546875" style="1" bestFit="1" customWidth="1"/>
    <col min="7963" max="7963" width="5.140625" style="1" bestFit="1" customWidth="1"/>
    <col min="7964" max="7964" width="8.85546875" style="1" customWidth="1"/>
    <col min="7965" max="8192" width="9.140625" style="1"/>
    <col min="8193" max="8193" width="1.28515625" style="1" customWidth="1"/>
    <col min="8194" max="8194" width="43.42578125" style="1" customWidth="1"/>
    <col min="8195" max="8195" width="17.85546875" style="1" customWidth="1"/>
    <col min="8196" max="8196" width="18.5703125" style="1" customWidth="1"/>
    <col min="8197" max="8197" width="17.140625" style="1" customWidth="1"/>
    <col min="8198" max="8198" width="1" style="1" customWidth="1"/>
    <col min="8199" max="8199" width="11.42578125" style="1" bestFit="1" customWidth="1"/>
    <col min="8200" max="8201" width="0" style="1" hidden="1" customWidth="1"/>
    <col min="8202" max="8202" width="5.28515625" style="1" customWidth="1"/>
    <col min="8203" max="8205" width="0" style="1" hidden="1" customWidth="1"/>
    <col min="8206" max="8206" width="5.28515625" style="1" customWidth="1"/>
    <col min="8207" max="8209" width="0" style="1" hidden="1" customWidth="1"/>
    <col min="8210" max="8210" width="15" style="1" bestFit="1" customWidth="1"/>
    <col min="8211" max="8211" width="11.7109375" style="1" bestFit="1" customWidth="1"/>
    <col min="8212" max="8214" width="4" style="1" bestFit="1" customWidth="1"/>
    <col min="8215" max="8215" width="3.5703125" style="1" bestFit="1" customWidth="1"/>
    <col min="8216" max="8217" width="0" style="1" hidden="1" customWidth="1"/>
    <col min="8218" max="8218" width="12.85546875" style="1" bestFit="1" customWidth="1"/>
    <col min="8219" max="8219" width="5.140625" style="1" bestFit="1" customWidth="1"/>
    <col min="8220" max="8220" width="8.85546875" style="1" customWidth="1"/>
    <col min="8221" max="8448" width="9.140625" style="1"/>
    <col min="8449" max="8449" width="1.28515625" style="1" customWidth="1"/>
    <col min="8450" max="8450" width="43.42578125" style="1" customWidth="1"/>
    <col min="8451" max="8451" width="17.85546875" style="1" customWidth="1"/>
    <col min="8452" max="8452" width="18.5703125" style="1" customWidth="1"/>
    <col min="8453" max="8453" width="17.140625" style="1" customWidth="1"/>
    <col min="8454" max="8454" width="1" style="1" customWidth="1"/>
    <col min="8455" max="8455" width="11.42578125" style="1" bestFit="1" customWidth="1"/>
    <col min="8456" max="8457" width="0" style="1" hidden="1" customWidth="1"/>
    <col min="8458" max="8458" width="5.28515625" style="1" customWidth="1"/>
    <col min="8459" max="8461" width="0" style="1" hidden="1" customWidth="1"/>
    <col min="8462" max="8462" width="5.28515625" style="1" customWidth="1"/>
    <col min="8463" max="8465" width="0" style="1" hidden="1" customWidth="1"/>
    <col min="8466" max="8466" width="15" style="1" bestFit="1" customWidth="1"/>
    <col min="8467" max="8467" width="11.7109375" style="1" bestFit="1" customWidth="1"/>
    <col min="8468" max="8470" width="4" style="1" bestFit="1" customWidth="1"/>
    <col min="8471" max="8471" width="3.5703125" style="1" bestFit="1" customWidth="1"/>
    <col min="8472" max="8473" width="0" style="1" hidden="1" customWidth="1"/>
    <col min="8474" max="8474" width="12.85546875" style="1" bestFit="1" customWidth="1"/>
    <col min="8475" max="8475" width="5.140625" style="1" bestFit="1" customWidth="1"/>
    <col min="8476" max="8476" width="8.85546875" style="1" customWidth="1"/>
    <col min="8477" max="8704" width="9.140625" style="1"/>
    <col min="8705" max="8705" width="1.28515625" style="1" customWidth="1"/>
    <col min="8706" max="8706" width="43.42578125" style="1" customWidth="1"/>
    <col min="8707" max="8707" width="17.85546875" style="1" customWidth="1"/>
    <col min="8708" max="8708" width="18.5703125" style="1" customWidth="1"/>
    <col min="8709" max="8709" width="17.140625" style="1" customWidth="1"/>
    <col min="8710" max="8710" width="1" style="1" customWidth="1"/>
    <col min="8711" max="8711" width="11.42578125" style="1" bestFit="1" customWidth="1"/>
    <col min="8712" max="8713" width="0" style="1" hidden="1" customWidth="1"/>
    <col min="8714" max="8714" width="5.28515625" style="1" customWidth="1"/>
    <col min="8715" max="8717" width="0" style="1" hidden="1" customWidth="1"/>
    <col min="8718" max="8718" width="5.28515625" style="1" customWidth="1"/>
    <col min="8719" max="8721" width="0" style="1" hidden="1" customWidth="1"/>
    <col min="8722" max="8722" width="15" style="1" bestFit="1" customWidth="1"/>
    <col min="8723" max="8723" width="11.7109375" style="1" bestFit="1" customWidth="1"/>
    <col min="8724" max="8726" width="4" style="1" bestFit="1" customWidth="1"/>
    <col min="8727" max="8727" width="3.5703125" style="1" bestFit="1" customWidth="1"/>
    <col min="8728" max="8729" width="0" style="1" hidden="1" customWidth="1"/>
    <col min="8730" max="8730" width="12.85546875" style="1" bestFit="1" customWidth="1"/>
    <col min="8731" max="8731" width="5.140625" style="1" bestFit="1" customWidth="1"/>
    <col min="8732" max="8732" width="8.85546875" style="1" customWidth="1"/>
    <col min="8733" max="8960" width="9.140625" style="1"/>
    <col min="8961" max="8961" width="1.28515625" style="1" customWidth="1"/>
    <col min="8962" max="8962" width="43.42578125" style="1" customWidth="1"/>
    <col min="8963" max="8963" width="17.85546875" style="1" customWidth="1"/>
    <col min="8964" max="8964" width="18.5703125" style="1" customWidth="1"/>
    <col min="8965" max="8965" width="17.140625" style="1" customWidth="1"/>
    <col min="8966" max="8966" width="1" style="1" customWidth="1"/>
    <col min="8967" max="8967" width="11.42578125" style="1" bestFit="1" customWidth="1"/>
    <col min="8968" max="8969" width="0" style="1" hidden="1" customWidth="1"/>
    <col min="8970" max="8970" width="5.28515625" style="1" customWidth="1"/>
    <col min="8971" max="8973" width="0" style="1" hidden="1" customWidth="1"/>
    <col min="8974" max="8974" width="5.28515625" style="1" customWidth="1"/>
    <col min="8975" max="8977" width="0" style="1" hidden="1" customWidth="1"/>
    <col min="8978" max="8978" width="15" style="1" bestFit="1" customWidth="1"/>
    <col min="8979" max="8979" width="11.7109375" style="1" bestFit="1" customWidth="1"/>
    <col min="8980" max="8982" width="4" style="1" bestFit="1" customWidth="1"/>
    <col min="8983" max="8983" width="3.5703125" style="1" bestFit="1" customWidth="1"/>
    <col min="8984" max="8985" width="0" style="1" hidden="1" customWidth="1"/>
    <col min="8986" max="8986" width="12.85546875" style="1" bestFit="1" customWidth="1"/>
    <col min="8987" max="8987" width="5.140625" style="1" bestFit="1" customWidth="1"/>
    <col min="8988" max="8988" width="8.85546875" style="1" customWidth="1"/>
    <col min="8989" max="9216" width="9.140625" style="1"/>
    <col min="9217" max="9217" width="1.28515625" style="1" customWidth="1"/>
    <col min="9218" max="9218" width="43.42578125" style="1" customWidth="1"/>
    <col min="9219" max="9219" width="17.85546875" style="1" customWidth="1"/>
    <col min="9220" max="9220" width="18.5703125" style="1" customWidth="1"/>
    <col min="9221" max="9221" width="17.140625" style="1" customWidth="1"/>
    <col min="9222" max="9222" width="1" style="1" customWidth="1"/>
    <col min="9223" max="9223" width="11.42578125" style="1" bestFit="1" customWidth="1"/>
    <col min="9224" max="9225" width="0" style="1" hidden="1" customWidth="1"/>
    <col min="9226" max="9226" width="5.28515625" style="1" customWidth="1"/>
    <col min="9227" max="9229" width="0" style="1" hidden="1" customWidth="1"/>
    <col min="9230" max="9230" width="5.28515625" style="1" customWidth="1"/>
    <col min="9231" max="9233" width="0" style="1" hidden="1" customWidth="1"/>
    <col min="9234" max="9234" width="15" style="1" bestFit="1" customWidth="1"/>
    <col min="9235" max="9235" width="11.7109375" style="1" bestFit="1" customWidth="1"/>
    <col min="9236" max="9238" width="4" style="1" bestFit="1" customWidth="1"/>
    <col min="9239" max="9239" width="3.5703125" style="1" bestFit="1" customWidth="1"/>
    <col min="9240" max="9241" width="0" style="1" hidden="1" customWidth="1"/>
    <col min="9242" max="9242" width="12.85546875" style="1" bestFit="1" customWidth="1"/>
    <col min="9243" max="9243" width="5.140625" style="1" bestFit="1" customWidth="1"/>
    <col min="9244" max="9244" width="8.85546875" style="1" customWidth="1"/>
    <col min="9245" max="9472" width="9.140625" style="1"/>
    <col min="9473" max="9473" width="1.28515625" style="1" customWidth="1"/>
    <col min="9474" max="9474" width="43.42578125" style="1" customWidth="1"/>
    <col min="9475" max="9475" width="17.85546875" style="1" customWidth="1"/>
    <col min="9476" max="9476" width="18.5703125" style="1" customWidth="1"/>
    <col min="9477" max="9477" width="17.140625" style="1" customWidth="1"/>
    <col min="9478" max="9478" width="1" style="1" customWidth="1"/>
    <col min="9479" max="9479" width="11.42578125" style="1" bestFit="1" customWidth="1"/>
    <col min="9480" max="9481" width="0" style="1" hidden="1" customWidth="1"/>
    <col min="9482" max="9482" width="5.28515625" style="1" customWidth="1"/>
    <col min="9483" max="9485" width="0" style="1" hidden="1" customWidth="1"/>
    <col min="9486" max="9486" width="5.28515625" style="1" customWidth="1"/>
    <col min="9487" max="9489" width="0" style="1" hidden="1" customWidth="1"/>
    <col min="9490" max="9490" width="15" style="1" bestFit="1" customWidth="1"/>
    <col min="9491" max="9491" width="11.7109375" style="1" bestFit="1" customWidth="1"/>
    <col min="9492" max="9494" width="4" style="1" bestFit="1" customWidth="1"/>
    <col min="9495" max="9495" width="3.5703125" style="1" bestFit="1" customWidth="1"/>
    <col min="9496" max="9497" width="0" style="1" hidden="1" customWidth="1"/>
    <col min="9498" max="9498" width="12.85546875" style="1" bestFit="1" customWidth="1"/>
    <col min="9499" max="9499" width="5.140625" style="1" bestFit="1" customWidth="1"/>
    <col min="9500" max="9500" width="8.85546875" style="1" customWidth="1"/>
    <col min="9501" max="9728" width="9.140625" style="1"/>
    <col min="9729" max="9729" width="1.28515625" style="1" customWidth="1"/>
    <col min="9730" max="9730" width="43.42578125" style="1" customWidth="1"/>
    <col min="9731" max="9731" width="17.85546875" style="1" customWidth="1"/>
    <col min="9732" max="9732" width="18.5703125" style="1" customWidth="1"/>
    <col min="9733" max="9733" width="17.140625" style="1" customWidth="1"/>
    <col min="9734" max="9734" width="1" style="1" customWidth="1"/>
    <col min="9735" max="9735" width="11.42578125" style="1" bestFit="1" customWidth="1"/>
    <col min="9736" max="9737" width="0" style="1" hidden="1" customWidth="1"/>
    <col min="9738" max="9738" width="5.28515625" style="1" customWidth="1"/>
    <col min="9739" max="9741" width="0" style="1" hidden="1" customWidth="1"/>
    <col min="9742" max="9742" width="5.28515625" style="1" customWidth="1"/>
    <col min="9743" max="9745" width="0" style="1" hidden="1" customWidth="1"/>
    <col min="9746" max="9746" width="15" style="1" bestFit="1" customWidth="1"/>
    <col min="9747" max="9747" width="11.7109375" style="1" bestFit="1" customWidth="1"/>
    <col min="9748" max="9750" width="4" style="1" bestFit="1" customWidth="1"/>
    <col min="9751" max="9751" width="3.5703125" style="1" bestFit="1" customWidth="1"/>
    <col min="9752" max="9753" width="0" style="1" hidden="1" customWidth="1"/>
    <col min="9754" max="9754" width="12.85546875" style="1" bestFit="1" customWidth="1"/>
    <col min="9755" max="9755" width="5.140625" style="1" bestFit="1" customWidth="1"/>
    <col min="9756" max="9756" width="8.85546875" style="1" customWidth="1"/>
    <col min="9757" max="9984" width="9.140625" style="1"/>
    <col min="9985" max="9985" width="1.28515625" style="1" customWidth="1"/>
    <col min="9986" max="9986" width="43.42578125" style="1" customWidth="1"/>
    <col min="9987" max="9987" width="17.85546875" style="1" customWidth="1"/>
    <col min="9988" max="9988" width="18.5703125" style="1" customWidth="1"/>
    <col min="9989" max="9989" width="17.140625" style="1" customWidth="1"/>
    <col min="9990" max="9990" width="1" style="1" customWidth="1"/>
    <col min="9991" max="9991" width="11.42578125" style="1" bestFit="1" customWidth="1"/>
    <col min="9992" max="9993" width="0" style="1" hidden="1" customWidth="1"/>
    <col min="9994" max="9994" width="5.28515625" style="1" customWidth="1"/>
    <col min="9995" max="9997" width="0" style="1" hidden="1" customWidth="1"/>
    <col min="9998" max="9998" width="5.28515625" style="1" customWidth="1"/>
    <col min="9999" max="10001" width="0" style="1" hidden="1" customWidth="1"/>
    <col min="10002" max="10002" width="15" style="1" bestFit="1" customWidth="1"/>
    <col min="10003" max="10003" width="11.7109375" style="1" bestFit="1" customWidth="1"/>
    <col min="10004" max="10006" width="4" style="1" bestFit="1" customWidth="1"/>
    <col min="10007" max="10007" width="3.5703125" style="1" bestFit="1" customWidth="1"/>
    <col min="10008" max="10009" width="0" style="1" hidden="1" customWidth="1"/>
    <col min="10010" max="10010" width="12.85546875" style="1" bestFit="1" customWidth="1"/>
    <col min="10011" max="10011" width="5.140625" style="1" bestFit="1" customWidth="1"/>
    <col min="10012" max="10012" width="8.85546875" style="1" customWidth="1"/>
    <col min="10013" max="10240" width="9.140625" style="1"/>
    <col min="10241" max="10241" width="1.28515625" style="1" customWidth="1"/>
    <col min="10242" max="10242" width="43.42578125" style="1" customWidth="1"/>
    <col min="10243" max="10243" width="17.85546875" style="1" customWidth="1"/>
    <col min="10244" max="10244" width="18.5703125" style="1" customWidth="1"/>
    <col min="10245" max="10245" width="17.140625" style="1" customWidth="1"/>
    <col min="10246" max="10246" width="1" style="1" customWidth="1"/>
    <col min="10247" max="10247" width="11.42578125" style="1" bestFit="1" customWidth="1"/>
    <col min="10248" max="10249" width="0" style="1" hidden="1" customWidth="1"/>
    <col min="10250" max="10250" width="5.28515625" style="1" customWidth="1"/>
    <col min="10251" max="10253" width="0" style="1" hidden="1" customWidth="1"/>
    <col min="10254" max="10254" width="5.28515625" style="1" customWidth="1"/>
    <col min="10255" max="10257" width="0" style="1" hidden="1" customWidth="1"/>
    <col min="10258" max="10258" width="15" style="1" bestFit="1" customWidth="1"/>
    <col min="10259" max="10259" width="11.7109375" style="1" bestFit="1" customWidth="1"/>
    <col min="10260" max="10262" width="4" style="1" bestFit="1" customWidth="1"/>
    <col min="10263" max="10263" width="3.5703125" style="1" bestFit="1" customWidth="1"/>
    <col min="10264" max="10265" width="0" style="1" hidden="1" customWidth="1"/>
    <col min="10266" max="10266" width="12.85546875" style="1" bestFit="1" customWidth="1"/>
    <col min="10267" max="10267" width="5.140625" style="1" bestFit="1" customWidth="1"/>
    <col min="10268" max="10268" width="8.85546875" style="1" customWidth="1"/>
    <col min="10269" max="10496" width="9.140625" style="1"/>
    <col min="10497" max="10497" width="1.28515625" style="1" customWidth="1"/>
    <col min="10498" max="10498" width="43.42578125" style="1" customWidth="1"/>
    <col min="10499" max="10499" width="17.85546875" style="1" customWidth="1"/>
    <col min="10500" max="10500" width="18.5703125" style="1" customWidth="1"/>
    <col min="10501" max="10501" width="17.140625" style="1" customWidth="1"/>
    <col min="10502" max="10502" width="1" style="1" customWidth="1"/>
    <col min="10503" max="10503" width="11.42578125" style="1" bestFit="1" customWidth="1"/>
    <col min="10504" max="10505" width="0" style="1" hidden="1" customWidth="1"/>
    <col min="10506" max="10506" width="5.28515625" style="1" customWidth="1"/>
    <col min="10507" max="10509" width="0" style="1" hidden="1" customWidth="1"/>
    <col min="10510" max="10510" width="5.28515625" style="1" customWidth="1"/>
    <col min="10511" max="10513" width="0" style="1" hidden="1" customWidth="1"/>
    <col min="10514" max="10514" width="15" style="1" bestFit="1" customWidth="1"/>
    <col min="10515" max="10515" width="11.7109375" style="1" bestFit="1" customWidth="1"/>
    <col min="10516" max="10518" width="4" style="1" bestFit="1" customWidth="1"/>
    <col min="10519" max="10519" width="3.5703125" style="1" bestFit="1" customWidth="1"/>
    <col min="10520" max="10521" width="0" style="1" hidden="1" customWidth="1"/>
    <col min="10522" max="10522" width="12.85546875" style="1" bestFit="1" customWidth="1"/>
    <col min="10523" max="10523" width="5.140625" style="1" bestFit="1" customWidth="1"/>
    <col min="10524" max="10524" width="8.85546875" style="1" customWidth="1"/>
    <col min="10525" max="10752" width="9.140625" style="1"/>
    <col min="10753" max="10753" width="1.28515625" style="1" customWidth="1"/>
    <col min="10754" max="10754" width="43.42578125" style="1" customWidth="1"/>
    <col min="10755" max="10755" width="17.85546875" style="1" customWidth="1"/>
    <col min="10756" max="10756" width="18.5703125" style="1" customWidth="1"/>
    <col min="10757" max="10757" width="17.140625" style="1" customWidth="1"/>
    <col min="10758" max="10758" width="1" style="1" customWidth="1"/>
    <col min="10759" max="10759" width="11.42578125" style="1" bestFit="1" customWidth="1"/>
    <col min="10760" max="10761" width="0" style="1" hidden="1" customWidth="1"/>
    <col min="10762" max="10762" width="5.28515625" style="1" customWidth="1"/>
    <col min="10763" max="10765" width="0" style="1" hidden="1" customWidth="1"/>
    <col min="10766" max="10766" width="5.28515625" style="1" customWidth="1"/>
    <col min="10767" max="10769" width="0" style="1" hidden="1" customWidth="1"/>
    <col min="10770" max="10770" width="15" style="1" bestFit="1" customWidth="1"/>
    <col min="10771" max="10771" width="11.7109375" style="1" bestFit="1" customWidth="1"/>
    <col min="10772" max="10774" width="4" style="1" bestFit="1" customWidth="1"/>
    <col min="10775" max="10775" width="3.5703125" style="1" bestFit="1" customWidth="1"/>
    <col min="10776" max="10777" width="0" style="1" hidden="1" customWidth="1"/>
    <col min="10778" max="10778" width="12.85546875" style="1" bestFit="1" customWidth="1"/>
    <col min="10779" max="10779" width="5.140625" style="1" bestFit="1" customWidth="1"/>
    <col min="10780" max="10780" width="8.85546875" style="1" customWidth="1"/>
    <col min="10781" max="11008" width="9.140625" style="1"/>
    <col min="11009" max="11009" width="1.28515625" style="1" customWidth="1"/>
    <col min="11010" max="11010" width="43.42578125" style="1" customWidth="1"/>
    <col min="11011" max="11011" width="17.85546875" style="1" customWidth="1"/>
    <col min="11012" max="11012" width="18.5703125" style="1" customWidth="1"/>
    <col min="11013" max="11013" width="17.140625" style="1" customWidth="1"/>
    <col min="11014" max="11014" width="1" style="1" customWidth="1"/>
    <col min="11015" max="11015" width="11.42578125" style="1" bestFit="1" customWidth="1"/>
    <col min="11016" max="11017" width="0" style="1" hidden="1" customWidth="1"/>
    <col min="11018" max="11018" width="5.28515625" style="1" customWidth="1"/>
    <col min="11019" max="11021" width="0" style="1" hidden="1" customWidth="1"/>
    <col min="11022" max="11022" width="5.28515625" style="1" customWidth="1"/>
    <col min="11023" max="11025" width="0" style="1" hidden="1" customWidth="1"/>
    <col min="11026" max="11026" width="15" style="1" bestFit="1" customWidth="1"/>
    <col min="11027" max="11027" width="11.7109375" style="1" bestFit="1" customWidth="1"/>
    <col min="11028" max="11030" width="4" style="1" bestFit="1" customWidth="1"/>
    <col min="11031" max="11031" width="3.5703125" style="1" bestFit="1" customWidth="1"/>
    <col min="11032" max="11033" width="0" style="1" hidden="1" customWidth="1"/>
    <col min="11034" max="11034" width="12.85546875" style="1" bestFit="1" customWidth="1"/>
    <col min="11035" max="11035" width="5.140625" style="1" bestFit="1" customWidth="1"/>
    <col min="11036" max="11036" width="8.85546875" style="1" customWidth="1"/>
    <col min="11037" max="11264" width="9.140625" style="1"/>
    <col min="11265" max="11265" width="1.28515625" style="1" customWidth="1"/>
    <col min="11266" max="11266" width="43.42578125" style="1" customWidth="1"/>
    <col min="11267" max="11267" width="17.85546875" style="1" customWidth="1"/>
    <col min="11268" max="11268" width="18.5703125" style="1" customWidth="1"/>
    <col min="11269" max="11269" width="17.140625" style="1" customWidth="1"/>
    <col min="11270" max="11270" width="1" style="1" customWidth="1"/>
    <col min="11271" max="11271" width="11.42578125" style="1" bestFit="1" customWidth="1"/>
    <col min="11272" max="11273" width="0" style="1" hidden="1" customWidth="1"/>
    <col min="11274" max="11274" width="5.28515625" style="1" customWidth="1"/>
    <col min="11275" max="11277" width="0" style="1" hidden="1" customWidth="1"/>
    <col min="11278" max="11278" width="5.28515625" style="1" customWidth="1"/>
    <col min="11279" max="11281" width="0" style="1" hidden="1" customWidth="1"/>
    <col min="11282" max="11282" width="15" style="1" bestFit="1" customWidth="1"/>
    <col min="11283" max="11283" width="11.7109375" style="1" bestFit="1" customWidth="1"/>
    <col min="11284" max="11286" width="4" style="1" bestFit="1" customWidth="1"/>
    <col min="11287" max="11287" width="3.5703125" style="1" bestFit="1" customWidth="1"/>
    <col min="11288" max="11289" width="0" style="1" hidden="1" customWidth="1"/>
    <col min="11290" max="11290" width="12.85546875" style="1" bestFit="1" customWidth="1"/>
    <col min="11291" max="11291" width="5.140625" style="1" bestFit="1" customWidth="1"/>
    <col min="11292" max="11292" width="8.85546875" style="1" customWidth="1"/>
    <col min="11293" max="11520" width="9.140625" style="1"/>
    <col min="11521" max="11521" width="1.28515625" style="1" customWidth="1"/>
    <col min="11522" max="11522" width="43.42578125" style="1" customWidth="1"/>
    <col min="11523" max="11523" width="17.85546875" style="1" customWidth="1"/>
    <col min="11524" max="11524" width="18.5703125" style="1" customWidth="1"/>
    <col min="11525" max="11525" width="17.140625" style="1" customWidth="1"/>
    <col min="11526" max="11526" width="1" style="1" customWidth="1"/>
    <col min="11527" max="11527" width="11.42578125" style="1" bestFit="1" customWidth="1"/>
    <col min="11528" max="11529" width="0" style="1" hidden="1" customWidth="1"/>
    <col min="11530" max="11530" width="5.28515625" style="1" customWidth="1"/>
    <col min="11531" max="11533" width="0" style="1" hidden="1" customWidth="1"/>
    <col min="11534" max="11534" width="5.28515625" style="1" customWidth="1"/>
    <col min="11535" max="11537" width="0" style="1" hidden="1" customWidth="1"/>
    <col min="11538" max="11538" width="15" style="1" bestFit="1" customWidth="1"/>
    <col min="11539" max="11539" width="11.7109375" style="1" bestFit="1" customWidth="1"/>
    <col min="11540" max="11542" width="4" style="1" bestFit="1" customWidth="1"/>
    <col min="11543" max="11543" width="3.5703125" style="1" bestFit="1" customWidth="1"/>
    <col min="11544" max="11545" width="0" style="1" hidden="1" customWidth="1"/>
    <col min="11546" max="11546" width="12.85546875" style="1" bestFit="1" customWidth="1"/>
    <col min="11547" max="11547" width="5.140625" style="1" bestFit="1" customWidth="1"/>
    <col min="11548" max="11548" width="8.85546875" style="1" customWidth="1"/>
    <col min="11549" max="11776" width="9.140625" style="1"/>
    <col min="11777" max="11777" width="1.28515625" style="1" customWidth="1"/>
    <col min="11778" max="11778" width="43.42578125" style="1" customWidth="1"/>
    <col min="11779" max="11779" width="17.85546875" style="1" customWidth="1"/>
    <col min="11780" max="11780" width="18.5703125" style="1" customWidth="1"/>
    <col min="11781" max="11781" width="17.140625" style="1" customWidth="1"/>
    <col min="11782" max="11782" width="1" style="1" customWidth="1"/>
    <col min="11783" max="11783" width="11.42578125" style="1" bestFit="1" customWidth="1"/>
    <col min="11784" max="11785" width="0" style="1" hidden="1" customWidth="1"/>
    <col min="11786" max="11786" width="5.28515625" style="1" customWidth="1"/>
    <col min="11787" max="11789" width="0" style="1" hidden="1" customWidth="1"/>
    <col min="11790" max="11790" width="5.28515625" style="1" customWidth="1"/>
    <col min="11791" max="11793" width="0" style="1" hidden="1" customWidth="1"/>
    <col min="11794" max="11794" width="15" style="1" bestFit="1" customWidth="1"/>
    <col min="11795" max="11795" width="11.7109375" style="1" bestFit="1" customWidth="1"/>
    <col min="11796" max="11798" width="4" style="1" bestFit="1" customWidth="1"/>
    <col min="11799" max="11799" width="3.5703125" style="1" bestFit="1" customWidth="1"/>
    <col min="11800" max="11801" width="0" style="1" hidden="1" customWidth="1"/>
    <col min="11802" max="11802" width="12.85546875" style="1" bestFit="1" customWidth="1"/>
    <col min="11803" max="11803" width="5.140625" style="1" bestFit="1" customWidth="1"/>
    <col min="11804" max="11804" width="8.85546875" style="1" customWidth="1"/>
    <col min="11805" max="12032" width="9.140625" style="1"/>
    <col min="12033" max="12033" width="1.28515625" style="1" customWidth="1"/>
    <col min="12034" max="12034" width="43.42578125" style="1" customWidth="1"/>
    <col min="12035" max="12035" width="17.85546875" style="1" customWidth="1"/>
    <col min="12036" max="12036" width="18.5703125" style="1" customWidth="1"/>
    <col min="12037" max="12037" width="17.140625" style="1" customWidth="1"/>
    <col min="12038" max="12038" width="1" style="1" customWidth="1"/>
    <col min="12039" max="12039" width="11.42578125" style="1" bestFit="1" customWidth="1"/>
    <col min="12040" max="12041" width="0" style="1" hidden="1" customWidth="1"/>
    <col min="12042" max="12042" width="5.28515625" style="1" customWidth="1"/>
    <col min="12043" max="12045" width="0" style="1" hidden="1" customWidth="1"/>
    <col min="12046" max="12046" width="5.28515625" style="1" customWidth="1"/>
    <col min="12047" max="12049" width="0" style="1" hidden="1" customWidth="1"/>
    <col min="12050" max="12050" width="15" style="1" bestFit="1" customWidth="1"/>
    <col min="12051" max="12051" width="11.7109375" style="1" bestFit="1" customWidth="1"/>
    <col min="12052" max="12054" width="4" style="1" bestFit="1" customWidth="1"/>
    <col min="12055" max="12055" width="3.5703125" style="1" bestFit="1" customWidth="1"/>
    <col min="12056" max="12057" width="0" style="1" hidden="1" customWidth="1"/>
    <col min="12058" max="12058" width="12.85546875" style="1" bestFit="1" customWidth="1"/>
    <col min="12059" max="12059" width="5.140625" style="1" bestFit="1" customWidth="1"/>
    <col min="12060" max="12060" width="8.85546875" style="1" customWidth="1"/>
    <col min="12061" max="12288" width="9.140625" style="1"/>
    <col min="12289" max="12289" width="1.28515625" style="1" customWidth="1"/>
    <col min="12290" max="12290" width="43.42578125" style="1" customWidth="1"/>
    <col min="12291" max="12291" width="17.85546875" style="1" customWidth="1"/>
    <col min="12292" max="12292" width="18.5703125" style="1" customWidth="1"/>
    <col min="12293" max="12293" width="17.140625" style="1" customWidth="1"/>
    <col min="12294" max="12294" width="1" style="1" customWidth="1"/>
    <col min="12295" max="12295" width="11.42578125" style="1" bestFit="1" customWidth="1"/>
    <col min="12296" max="12297" width="0" style="1" hidden="1" customWidth="1"/>
    <col min="12298" max="12298" width="5.28515625" style="1" customWidth="1"/>
    <col min="12299" max="12301" width="0" style="1" hidden="1" customWidth="1"/>
    <col min="12302" max="12302" width="5.28515625" style="1" customWidth="1"/>
    <col min="12303" max="12305" width="0" style="1" hidden="1" customWidth="1"/>
    <col min="12306" max="12306" width="15" style="1" bestFit="1" customWidth="1"/>
    <col min="12307" max="12307" width="11.7109375" style="1" bestFit="1" customWidth="1"/>
    <col min="12308" max="12310" width="4" style="1" bestFit="1" customWidth="1"/>
    <col min="12311" max="12311" width="3.5703125" style="1" bestFit="1" customWidth="1"/>
    <col min="12312" max="12313" width="0" style="1" hidden="1" customWidth="1"/>
    <col min="12314" max="12314" width="12.85546875" style="1" bestFit="1" customWidth="1"/>
    <col min="12315" max="12315" width="5.140625" style="1" bestFit="1" customWidth="1"/>
    <col min="12316" max="12316" width="8.85546875" style="1" customWidth="1"/>
    <col min="12317" max="12544" width="9.140625" style="1"/>
    <col min="12545" max="12545" width="1.28515625" style="1" customWidth="1"/>
    <col min="12546" max="12546" width="43.42578125" style="1" customWidth="1"/>
    <col min="12547" max="12547" width="17.85546875" style="1" customWidth="1"/>
    <col min="12548" max="12548" width="18.5703125" style="1" customWidth="1"/>
    <col min="12549" max="12549" width="17.140625" style="1" customWidth="1"/>
    <col min="12550" max="12550" width="1" style="1" customWidth="1"/>
    <col min="12551" max="12551" width="11.42578125" style="1" bestFit="1" customWidth="1"/>
    <col min="12552" max="12553" width="0" style="1" hidden="1" customWidth="1"/>
    <col min="12554" max="12554" width="5.28515625" style="1" customWidth="1"/>
    <col min="12555" max="12557" width="0" style="1" hidden="1" customWidth="1"/>
    <col min="12558" max="12558" width="5.28515625" style="1" customWidth="1"/>
    <col min="12559" max="12561" width="0" style="1" hidden="1" customWidth="1"/>
    <col min="12562" max="12562" width="15" style="1" bestFit="1" customWidth="1"/>
    <col min="12563" max="12563" width="11.7109375" style="1" bestFit="1" customWidth="1"/>
    <col min="12564" max="12566" width="4" style="1" bestFit="1" customWidth="1"/>
    <col min="12567" max="12567" width="3.5703125" style="1" bestFit="1" customWidth="1"/>
    <col min="12568" max="12569" width="0" style="1" hidden="1" customWidth="1"/>
    <col min="12570" max="12570" width="12.85546875" style="1" bestFit="1" customWidth="1"/>
    <col min="12571" max="12571" width="5.140625" style="1" bestFit="1" customWidth="1"/>
    <col min="12572" max="12572" width="8.85546875" style="1" customWidth="1"/>
    <col min="12573" max="12800" width="9.140625" style="1"/>
    <col min="12801" max="12801" width="1.28515625" style="1" customWidth="1"/>
    <col min="12802" max="12802" width="43.42578125" style="1" customWidth="1"/>
    <col min="12803" max="12803" width="17.85546875" style="1" customWidth="1"/>
    <col min="12804" max="12804" width="18.5703125" style="1" customWidth="1"/>
    <col min="12805" max="12805" width="17.140625" style="1" customWidth="1"/>
    <col min="12806" max="12806" width="1" style="1" customWidth="1"/>
    <col min="12807" max="12807" width="11.42578125" style="1" bestFit="1" customWidth="1"/>
    <col min="12808" max="12809" width="0" style="1" hidden="1" customWidth="1"/>
    <col min="12810" max="12810" width="5.28515625" style="1" customWidth="1"/>
    <col min="12811" max="12813" width="0" style="1" hidden="1" customWidth="1"/>
    <col min="12814" max="12814" width="5.28515625" style="1" customWidth="1"/>
    <col min="12815" max="12817" width="0" style="1" hidden="1" customWidth="1"/>
    <col min="12818" max="12818" width="15" style="1" bestFit="1" customWidth="1"/>
    <col min="12819" max="12819" width="11.7109375" style="1" bestFit="1" customWidth="1"/>
    <col min="12820" max="12822" width="4" style="1" bestFit="1" customWidth="1"/>
    <col min="12823" max="12823" width="3.5703125" style="1" bestFit="1" customWidth="1"/>
    <col min="12824" max="12825" width="0" style="1" hidden="1" customWidth="1"/>
    <col min="12826" max="12826" width="12.85546875" style="1" bestFit="1" customWidth="1"/>
    <col min="12827" max="12827" width="5.140625" style="1" bestFit="1" customWidth="1"/>
    <col min="12828" max="12828" width="8.85546875" style="1" customWidth="1"/>
    <col min="12829" max="13056" width="9.140625" style="1"/>
    <col min="13057" max="13057" width="1.28515625" style="1" customWidth="1"/>
    <col min="13058" max="13058" width="43.42578125" style="1" customWidth="1"/>
    <col min="13059" max="13059" width="17.85546875" style="1" customWidth="1"/>
    <col min="13060" max="13060" width="18.5703125" style="1" customWidth="1"/>
    <col min="13061" max="13061" width="17.140625" style="1" customWidth="1"/>
    <col min="13062" max="13062" width="1" style="1" customWidth="1"/>
    <col min="13063" max="13063" width="11.42578125" style="1" bestFit="1" customWidth="1"/>
    <col min="13064" max="13065" width="0" style="1" hidden="1" customWidth="1"/>
    <col min="13066" max="13066" width="5.28515625" style="1" customWidth="1"/>
    <col min="13067" max="13069" width="0" style="1" hidden="1" customWidth="1"/>
    <col min="13070" max="13070" width="5.28515625" style="1" customWidth="1"/>
    <col min="13071" max="13073" width="0" style="1" hidden="1" customWidth="1"/>
    <col min="13074" max="13074" width="15" style="1" bestFit="1" customWidth="1"/>
    <col min="13075" max="13075" width="11.7109375" style="1" bestFit="1" customWidth="1"/>
    <col min="13076" max="13078" width="4" style="1" bestFit="1" customWidth="1"/>
    <col min="13079" max="13079" width="3.5703125" style="1" bestFit="1" customWidth="1"/>
    <col min="13080" max="13081" width="0" style="1" hidden="1" customWidth="1"/>
    <col min="13082" max="13082" width="12.85546875" style="1" bestFit="1" customWidth="1"/>
    <col min="13083" max="13083" width="5.140625" style="1" bestFit="1" customWidth="1"/>
    <col min="13084" max="13084" width="8.85546875" style="1" customWidth="1"/>
    <col min="13085" max="13312" width="9.140625" style="1"/>
    <col min="13313" max="13313" width="1.28515625" style="1" customWidth="1"/>
    <col min="13314" max="13314" width="43.42578125" style="1" customWidth="1"/>
    <col min="13315" max="13315" width="17.85546875" style="1" customWidth="1"/>
    <col min="13316" max="13316" width="18.5703125" style="1" customWidth="1"/>
    <col min="13317" max="13317" width="17.140625" style="1" customWidth="1"/>
    <col min="13318" max="13318" width="1" style="1" customWidth="1"/>
    <col min="13319" max="13319" width="11.42578125" style="1" bestFit="1" customWidth="1"/>
    <col min="13320" max="13321" width="0" style="1" hidden="1" customWidth="1"/>
    <col min="13322" max="13322" width="5.28515625" style="1" customWidth="1"/>
    <col min="13323" max="13325" width="0" style="1" hidden="1" customWidth="1"/>
    <col min="13326" max="13326" width="5.28515625" style="1" customWidth="1"/>
    <col min="13327" max="13329" width="0" style="1" hidden="1" customWidth="1"/>
    <col min="13330" max="13330" width="15" style="1" bestFit="1" customWidth="1"/>
    <col min="13331" max="13331" width="11.7109375" style="1" bestFit="1" customWidth="1"/>
    <col min="13332" max="13334" width="4" style="1" bestFit="1" customWidth="1"/>
    <col min="13335" max="13335" width="3.5703125" style="1" bestFit="1" customWidth="1"/>
    <col min="13336" max="13337" width="0" style="1" hidden="1" customWidth="1"/>
    <col min="13338" max="13338" width="12.85546875" style="1" bestFit="1" customWidth="1"/>
    <col min="13339" max="13339" width="5.140625" style="1" bestFit="1" customWidth="1"/>
    <col min="13340" max="13340" width="8.85546875" style="1" customWidth="1"/>
    <col min="13341" max="13568" width="9.140625" style="1"/>
    <col min="13569" max="13569" width="1.28515625" style="1" customWidth="1"/>
    <col min="13570" max="13570" width="43.42578125" style="1" customWidth="1"/>
    <col min="13571" max="13571" width="17.85546875" style="1" customWidth="1"/>
    <col min="13572" max="13572" width="18.5703125" style="1" customWidth="1"/>
    <col min="13573" max="13573" width="17.140625" style="1" customWidth="1"/>
    <col min="13574" max="13574" width="1" style="1" customWidth="1"/>
    <col min="13575" max="13575" width="11.42578125" style="1" bestFit="1" customWidth="1"/>
    <col min="13576" max="13577" width="0" style="1" hidden="1" customWidth="1"/>
    <col min="13578" max="13578" width="5.28515625" style="1" customWidth="1"/>
    <col min="13579" max="13581" width="0" style="1" hidden="1" customWidth="1"/>
    <col min="13582" max="13582" width="5.28515625" style="1" customWidth="1"/>
    <col min="13583" max="13585" width="0" style="1" hidden="1" customWidth="1"/>
    <col min="13586" max="13586" width="15" style="1" bestFit="1" customWidth="1"/>
    <col min="13587" max="13587" width="11.7109375" style="1" bestFit="1" customWidth="1"/>
    <col min="13588" max="13590" width="4" style="1" bestFit="1" customWidth="1"/>
    <col min="13591" max="13591" width="3.5703125" style="1" bestFit="1" customWidth="1"/>
    <col min="13592" max="13593" width="0" style="1" hidden="1" customWidth="1"/>
    <col min="13594" max="13594" width="12.85546875" style="1" bestFit="1" customWidth="1"/>
    <col min="13595" max="13595" width="5.140625" style="1" bestFit="1" customWidth="1"/>
    <col min="13596" max="13596" width="8.85546875" style="1" customWidth="1"/>
    <col min="13597" max="13824" width="9.140625" style="1"/>
    <col min="13825" max="13825" width="1.28515625" style="1" customWidth="1"/>
    <col min="13826" max="13826" width="43.42578125" style="1" customWidth="1"/>
    <col min="13827" max="13827" width="17.85546875" style="1" customWidth="1"/>
    <col min="13828" max="13828" width="18.5703125" style="1" customWidth="1"/>
    <col min="13829" max="13829" width="17.140625" style="1" customWidth="1"/>
    <col min="13830" max="13830" width="1" style="1" customWidth="1"/>
    <col min="13831" max="13831" width="11.42578125" style="1" bestFit="1" customWidth="1"/>
    <col min="13832" max="13833" width="0" style="1" hidden="1" customWidth="1"/>
    <col min="13834" max="13834" width="5.28515625" style="1" customWidth="1"/>
    <col min="13835" max="13837" width="0" style="1" hidden="1" customWidth="1"/>
    <col min="13838" max="13838" width="5.28515625" style="1" customWidth="1"/>
    <col min="13839" max="13841" width="0" style="1" hidden="1" customWidth="1"/>
    <col min="13842" max="13842" width="15" style="1" bestFit="1" customWidth="1"/>
    <col min="13843" max="13843" width="11.7109375" style="1" bestFit="1" customWidth="1"/>
    <col min="13844" max="13846" width="4" style="1" bestFit="1" customWidth="1"/>
    <col min="13847" max="13847" width="3.5703125" style="1" bestFit="1" customWidth="1"/>
    <col min="13848" max="13849" width="0" style="1" hidden="1" customWidth="1"/>
    <col min="13850" max="13850" width="12.85546875" style="1" bestFit="1" customWidth="1"/>
    <col min="13851" max="13851" width="5.140625" style="1" bestFit="1" customWidth="1"/>
    <col min="13852" max="13852" width="8.85546875" style="1" customWidth="1"/>
    <col min="13853" max="14080" width="9.140625" style="1"/>
    <col min="14081" max="14081" width="1.28515625" style="1" customWidth="1"/>
    <col min="14082" max="14082" width="43.42578125" style="1" customWidth="1"/>
    <col min="14083" max="14083" width="17.85546875" style="1" customWidth="1"/>
    <col min="14084" max="14084" width="18.5703125" style="1" customWidth="1"/>
    <col min="14085" max="14085" width="17.140625" style="1" customWidth="1"/>
    <col min="14086" max="14086" width="1" style="1" customWidth="1"/>
    <col min="14087" max="14087" width="11.42578125" style="1" bestFit="1" customWidth="1"/>
    <col min="14088" max="14089" width="0" style="1" hidden="1" customWidth="1"/>
    <col min="14090" max="14090" width="5.28515625" style="1" customWidth="1"/>
    <col min="14091" max="14093" width="0" style="1" hidden="1" customWidth="1"/>
    <col min="14094" max="14094" width="5.28515625" style="1" customWidth="1"/>
    <col min="14095" max="14097" width="0" style="1" hidden="1" customWidth="1"/>
    <col min="14098" max="14098" width="15" style="1" bestFit="1" customWidth="1"/>
    <col min="14099" max="14099" width="11.7109375" style="1" bestFit="1" customWidth="1"/>
    <col min="14100" max="14102" width="4" style="1" bestFit="1" customWidth="1"/>
    <col min="14103" max="14103" width="3.5703125" style="1" bestFit="1" customWidth="1"/>
    <col min="14104" max="14105" width="0" style="1" hidden="1" customWidth="1"/>
    <col min="14106" max="14106" width="12.85546875" style="1" bestFit="1" customWidth="1"/>
    <col min="14107" max="14107" width="5.140625" style="1" bestFit="1" customWidth="1"/>
    <col min="14108" max="14108" width="8.85546875" style="1" customWidth="1"/>
    <col min="14109" max="14336" width="9.140625" style="1"/>
    <col min="14337" max="14337" width="1.28515625" style="1" customWidth="1"/>
    <col min="14338" max="14338" width="43.42578125" style="1" customWidth="1"/>
    <col min="14339" max="14339" width="17.85546875" style="1" customWidth="1"/>
    <col min="14340" max="14340" width="18.5703125" style="1" customWidth="1"/>
    <col min="14341" max="14341" width="17.140625" style="1" customWidth="1"/>
    <col min="14342" max="14342" width="1" style="1" customWidth="1"/>
    <col min="14343" max="14343" width="11.42578125" style="1" bestFit="1" customWidth="1"/>
    <col min="14344" max="14345" width="0" style="1" hidden="1" customWidth="1"/>
    <col min="14346" max="14346" width="5.28515625" style="1" customWidth="1"/>
    <col min="14347" max="14349" width="0" style="1" hidden="1" customWidth="1"/>
    <col min="14350" max="14350" width="5.28515625" style="1" customWidth="1"/>
    <col min="14351" max="14353" width="0" style="1" hidden="1" customWidth="1"/>
    <col min="14354" max="14354" width="15" style="1" bestFit="1" customWidth="1"/>
    <col min="14355" max="14355" width="11.7109375" style="1" bestFit="1" customWidth="1"/>
    <col min="14356" max="14358" width="4" style="1" bestFit="1" customWidth="1"/>
    <col min="14359" max="14359" width="3.5703125" style="1" bestFit="1" customWidth="1"/>
    <col min="14360" max="14361" width="0" style="1" hidden="1" customWidth="1"/>
    <col min="14362" max="14362" width="12.85546875" style="1" bestFit="1" customWidth="1"/>
    <col min="14363" max="14363" width="5.140625" style="1" bestFit="1" customWidth="1"/>
    <col min="14364" max="14364" width="8.85546875" style="1" customWidth="1"/>
    <col min="14365" max="14592" width="9.140625" style="1"/>
    <col min="14593" max="14593" width="1.28515625" style="1" customWidth="1"/>
    <col min="14594" max="14594" width="43.42578125" style="1" customWidth="1"/>
    <col min="14595" max="14595" width="17.85546875" style="1" customWidth="1"/>
    <col min="14596" max="14596" width="18.5703125" style="1" customWidth="1"/>
    <col min="14597" max="14597" width="17.140625" style="1" customWidth="1"/>
    <col min="14598" max="14598" width="1" style="1" customWidth="1"/>
    <col min="14599" max="14599" width="11.42578125" style="1" bestFit="1" customWidth="1"/>
    <col min="14600" max="14601" width="0" style="1" hidden="1" customWidth="1"/>
    <col min="14602" max="14602" width="5.28515625" style="1" customWidth="1"/>
    <col min="14603" max="14605" width="0" style="1" hidden="1" customWidth="1"/>
    <col min="14606" max="14606" width="5.28515625" style="1" customWidth="1"/>
    <col min="14607" max="14609" width="0" style="1" hidden="1" customWidth="1"/>
    <col min="14610" max="14610" width="15" style="1" bestFit="1" customWidth="1"/>
    <col min="14611" max="14611" width="11.7109375" style="1" bestFit="1" customWidth="1"/>
    <col min="14612" max="14614" width="4" style="1" bestFit="1" customWidth="1"/>
    <col min="14615" max="14615" width="3.5703125" style="1" bestFit="1" customWidth="1"/>
    <col min="14616" max="14617" width="0" style="1" hidden="1" customWidth="1"/>
    <col min="14618" max="14618" width="12.85546875" style="1" bestFit="1" customWidth="1"/>
    <col min="14619" max="14619" width="5.140625" style="1" bestFit="1" customWidth="1"/>
    <col min="14620" max="14620" width="8.85546875" style="1" customWidth="1"/>
    <col min="14621" max="14848" width="9.140625" style="1"/>
    <col min="14849" max="14849" width="1.28515625" style="1" customWidth="1"/>
    <col min="14850" max="14850" width="43.42578125" style="1" customWidth="1"/>
    <col min="14851" max="14851" width="17.85546875" style="1" customWidth="1"/>
    <col min="14852" max="14852" width="18.5703125" style="1" customWidth="1"/>
    <col min="14853" max="14853" width="17.140625" style="1" customWidth="1"/>
    <col min="14854" max="14854" width="1" style="1" customWidth="1"/>
    <col min="14855" max="14855" width="11.42578125" style="1" bestFit="1" customWidth="1"/>
    <col min="14856" max="14857" width="0" style="1" hidden="1" customWidth="1"/>
    <col min="14858" max="14858" width="5.28515625" style="1" customWidth="1"/>
    <col min="14859" max="14861" width="0" style="1" hidden="1" customWidth="1"/>
    <col min="14862" max="14862" width="5.28515625" style="1" customWidth="1"/>
    <col min="14863" max="14865" width="0" style="1" hidden="1" customWidth="1"/>
    <col min="14866" max="14866" width="15" style="1" bestFit="1" customWidth="1"/>
    <col min="14867" max="14867" width="11.7109375" style="1" bestFit="1" customWidth="1"/>
    <col min="14868" max="14870" width="4" style="1" bestFit="1" customWidth="1"/>
    <col min="14871" max="14871" width="3.5703125" style="1" bestFit="1" customWidth="1"/>
    <col min="14872" max="14873" width="0" style="1" hidden="1" customWidth="1"/>
    <col min="14874" max="14874" width="12.85546875" style="1" bestFit="1" customWidth="1"/>
    <col min="14875" max="14875" width="5.140625" style="1" bestFit="1" customWidth="1"/>
    <col min="14876" max="14876" width="8.85546875" style="1" customWidth="1"/>
    <col min="14877" max="15104" width="9.140625" style="1"/>
    <col min="15105" max="15105" width="1.28515625" style="1" customWidth="1"/>
    <col min="15106" max="15106" width="43.42578125" style="1" customWidth="1"/>
    <col min="15107" max="15107" width="17.85546875" style="1" customWidth="1"/>
    <col min="15108" max="15108" width="18.5703125" style="1" customWidth="1"/>
    <col min="15109" max="15109" width="17.140625" style="1" customWidth="1"/>
    <col min="15110" max="15110" width="1" style="1" customWidth="1"/>
    <col min="15111" max="15111" width="11.42578125" style="1" bestFit="1" customWidth="1"/>
    <col min="15112" max="15113" width="0" style="1" hidden="1" customWidth="1"/>
    <col min="15114" max="15114" width="5.28515625" style="1" customWidth="1"/>
    <col min="15115" max="15117" width="0" style="1" hidden="1" customWidth="1"/>
    <col min="15118" max="15118" width="5.28515625" style="1" customWidth="1"/>
    <col min="15119" max="15121" width="0" style="1" hidden="1" customWidth="1"/>
    <col min="15122" max="15122" width="15" style="1" bestFit="1" customWidth="1"/>
    <col min="15123" max="15123" width="11.7109375" style="1" bestFit="1" customWidth="1"/>
    <col min="15124" max="15126" width="4" style="1" bestFit="1" customWidth="1"/>
    <col min="15127" max="15127" width="3.5703125" style="1" bestFit="1" customWidth="1"/>
    <col min="15128" max="15129" width="0" style="1" hidden="1" customWidth="1"/>
    <col min="15130" max="15130" width="12.85546875" style="1" bestFit="1" customWidth="1"/>
    <col min="15131" max="15131" width="5.140625" style="1" bestFit="1" customWidth="1"/>
    <col min="15132" max="15132" width="8.85546875" style="1" customWidth="1"/>
    <col min="15133" max="15360" width="9.140625" style="1"/>
    <col min="15361" max="15361" width="1.28515625" style="1" customWidth="1"/>
    <col min="15362" max="15362" width="43.42578125" style="1" customWidth="1"/>
    <col min="15363" max="15363" width="17.85546875" style="1" customWidth="1"/>
    <col min="15364" max="15364" width="18.5703125" style="1" customWidth="1"/>
    <col min="15365" max="15365" width="17.140625" style="1" customWidth="1"/>
    <col min="15366" max="15366" width="1" style="1" customWidth="1"/>
    <col min="15367" max="15367" width="11.42578125" style="1" bestFit="1" customWidth="1"/>
    <col min="15368" max="15369" width="0" style="1" hidden="1" customWidth="1"/>
    <col min="15370" max="15370" width="5.28515625" style="1" customWidth="1"/>
    <col min="15371" max="15373" width="0" style="1" hidden="1" customWidth="1"/>
    <col min="15374" max="15374" width="5.28515625" style="1" customWidth="1"/>
    <col min="15375" max="15377" width="0" style="1" hidden="1" customWidth="1"/>
    <col min="15378" max="15378" width="15" style="1" bestFit="1" customWidth="1"/>
    <col min="15379" max="15379" width="11.7109375" style="1" bestFit="1" customWidth="1"/>
    <col min="15380" max="15382" width="4" style="1" bestFit="1" customWidth="1"/>
    <col min="15383" max="15383" width="3.5703125" style="1" bestFit="1" customWidth="1"/>
    <col min="15384" max="15385" width="0" style="1" hidden="1" customWidth="1"/>
    <col min="15386" max="15386" width="12.85546875" style="1" bestFit="1" customWidth="1"/>
    <col min="15387" max="15387" width="5.140625" style="1" bestFit="1" customWidth="1"/>
    <col min="15388" max="15388" width="8.85546875" style="1" customWidth="1"/>
    <col min="15389" max="15616" width="9.140625" style="1"/>
    <col min="15617" max="15617" width="1.28515625" style="1" customWidth="1"/>
    <col min="15618" max="15618" width="43.42578125" style="1" customWidth="1"/>
    <col min="15619" max="15619" width="17.85546875" style="1" customWidth="1"/>
    <col min="15620" max="15620" width="18.5703125" style="1" customWidth="1"/>
    <col min="15621" max="15621" width="17.140625" style="1" customWidth="1"/>
    <col min="15622" max="15622" width="1" style="1" customWidth="1"/>
    <col min="15623" max="15623" width="11.42578125" style="1" bestFit="1" customWidth="1"/>
    <col min="15624" max="15625" width="0" style="1" hidden="1" customWidth="1"/>
    <col min="15626" max="15626" width="5.28515625" style="1" customWidth="1"/>
    <col min="15627" max="15629" width="0" style="1" hidden="1" customWidth="1"/>
    <col min="15630" max="15630" width="5.28515625" style="1" customWidth="1"/>
    <col min="15631" max="15633" width="0" style="1" hidden="1" customWidth="1"/>
    <col min="15634" max="15634" width="15" style="1" bestFit="1" customWidth="1"/>
    <col min="15635" max="15635" width="11.7109375" style="1" bestFit="1" customWidth="1"/>
    <col min="15636" max="15638" width="4" style="1" bestFit="1" customWidth="1"/>
    <col min="15639" max="15639" width="3.5703125" style="1" bestFit="1" customWidth="1"/>
    <col min="15640" max="15641" width="0" style="1" hidden="1" customWidth="1"/>
    <col min="15642" max="15642" width="12.85546875" style="1" bestFit="1" customWidth="1"/>
    <col min="15643" max="15643" width="5.140625" style="1" bestFit="1" customWidth="1"/>
    <col min="15644" max="15644" width="8.85546875" style="1" customWidth="1"/>
    <col min="15645" max="15872" width="9.140625" style="1"/>
    <col min="15873" max="15873" width="1.28515625" style="1" customWidth="1"/>
    <col min="15874" max="15874" width="43.42578125" style="1" customWidth="1"/>
    <col min="15875" max="15875" width="17.85546875" style="1" customWidth="1"/>
    <col min="15876" max="15876" width="18.5703125" style="1" customWidth="1"/>
    <col min="15877" max="15877" width="17.140625" style="1" customWidth="1"/>
    <col min="15878" max="15878" width="1" style="1" customWidth="1"/>
    <col min="15879" max="15879" width="11.42578125" style="1" bestFit="1" customWidth="1"/>
    <col min="15880" max="15881" width="0" style="1" hidden="1" customWidth="1"/>
    <col min="15882" max="15882" width="5.28515625" style="1" customWidth="1"/>
    <col min="15883" max="15885" width="0" style="1" hidden="1" customWidth="1"/>
    <col min="15886" max="15886" width="5.28515625" style="1" customWidth="1"/>
    <col min="15887" max="15889" width="0" style="1" hidden="1" customWidth="1"/>
    <col min="15890" max="15890" width="15" style="1" bestFit="1" customWidth="1"/>
    <col min="15891" max="15891" width="11.7109375" style="1" bestFit="1" customWidth="1"/>
    <col min="15892" max="15894" width="4" style="1" bestFit="1" customWidth="1"/>
    <col min="15895" max="15895" width="3.5703125" style="1" bestFit="1" customWidth="1"/>
    <col min="15896" max="15897" width="0" style="1" hidden="1" customWidth="1"/>
    <col min="15898" max="15898" width="12.85546875" style="1" bestFit="1" customWidth="1"/>
    <col min="15899" max="15899" width="5.140625" style="1" bestFit="1" customWidth="1"/>
    <col min="15900" max="15900" width="8.85546875" style="1" customWidth="1"/>
    <col min="15901" max="16128" width="9.140625" style="1"/>
    <col min="16129" max="16129" width="1.28515625" style="1" customWidth="1"/>
    <col min="16130" max="16130" width="43.42578125" style="1" customWidth="1"/>
    <col min="16131" max="16131" width="17.85546875" style="1" customWidth="1"/>
    <col min="16132" max="16132" width="18.5703125" style="1" customWidth="1"/>
    <col min="16133" max="16133" width="17.140625" style="1" customWidth="1"/>
    <col min="16134" max="16134" width="1" style="1" customWidth="1"/>
    <col min="16135" max="16135" width="11.42578125" style="1" bestFit="1" customWidth="1"/>
    <col min="16136" max="16137" width="0" style="1" hidden="1" customWidth="1"/>
    <col min="16138" max="16138" width="5.28515625" style="1" customWidth="1"/>
    <col min="16139" max="16141" width="0" style="1" hidden="1" customWidth="1"/>
    <col min="16142" max="16142" width="5.28515625" style="1" customWidth="1"/>
    <col min="16143" max="16145" width="0" style="1" hidden="1" customWidth="1"/>
    <col min="16146" max="16146" width="15" style="1" bestFit="1" customWidth="1"/>
    <col min="16147" max="16147" width="11.7109375" style="1" bestFit="1" customWidth="1"/>
    <col min="16148" max="16150" width="4" style="1" bestFit="1" customWidth="1"/>
    <col min="16151" max="16151" width="3.5703125" style="1" bestFit="1" customWidth="1"/>
    <col min="16152" max="16153" width="0" style="1" hidden="1" customWidth="1"/>
    <col min="16154" max="16154" width="12.85546875" style="1" bestFit="1" customWidth="1"/>
    <col min="16155" max="16155" width="5.140625" style="1" bestFit="1" customWidth="1"/>
    <col min="16156" max="16156" width="8.85546875" style="1" customWidth="1"/>
    <col min="16157" max="16384" width="9.140625" style="1"/>
  </cols>
  <sheetData>
    <row r="4" spans="1:10" x14ac:dyDescent="0.25">
      <c r="A4" s="293"/>
      <c r="B4" s="293"/>
      <c r="C4" s="293"/>
      <c r="D4" s="293"/>
      <c r="E4" s="293"/>
    </row>
    <row r="5" spans="1:10" x14ac:dyDescent="0.25">
      <c r="A5" s="4"/>
      <c r="B5" s="4"/>
      <c r="C5" s="4"/>
      <c r="D5" s="5"/>
      <c r="E5" s="4"/>
    </row>
    <row r="6" spans="1:10" ht="31.5" customHeight="1" x14ac:dyDescent="0.25">
      <c r="B6" s="283" t="s">
        <v>0</v>
      </c>
      <c r="C6" s="283"/>
      <c r="D6" s="283"/>
      <c r="E6" s="283"/>
    </row>
    <row r="7" spans="1:10" x14ac:dyDescent="0.25">
      <c r="B7" s="6" t="s">
        <v>1</v>
      </c>
    </row>
    <row r="8" spans="1:10" x14ac:dyDescent="0.25">
      <c r="B8" s="7" t="s">
        <v>2</v>
      </c>
      <c r="C8" s="8"/>
    </row>
    <row r="9" spans="1:10" x14ac:dyDescent="0.25">
      <c r="B9" s="9"/>
    </row>
    <row r="10" spans="1:10" x14ac:dyDescent="0.25">
      <c r="B10" s="287" t="s">
        <v>3</v>
      </c>
      <c r="C10" s="287"/>
      <c r="D10" s="287"/>
      <c r="E10" s="287"/>
    </row>
    <row r="11" spans="1:10" x14ac:dyDescent="0.25">
      <c r="B11" s="10"/>
    </row>
    <row r="12" spans="1:10" ht="144.75" customHeight="1" x14ac:dyDescent="0.25">
      <c r="B12" s="276" t="s">
        <v>4</v>
      </c>
      <c r="C12" s="276"/>
      <c r="D12" s="276"/>
      <c r="E12" s="276"/>
      <c r="G12" s="8"/>
      <c r="H12" s="8"/>
      <c r="I12" s="8"/>
      <c r="J12" s="11"/>
    </row>
    <row r="13" spans="1:10" ht="18" customHeight="1" x14ac:dyDescent="0.25">
      <c r="B13" s="12"/>
      <c r="C13" s="12"/>
      <c r="D13" s="12"/>
      <c r="E13" s="12"/>
      <c r="G13" s="8"/>
      <c r="H13" s="8"/>
      <c r="I13" s="8"/>
      <c r="J13" s="11"/>
    </row>
    <row r="14" spans="1:10" ht="27.75" customHeight="1" x14ac:dyDescent="0.25">
      <c r="B14" s="287" t="str">
        <f>("Principales funcionarios al "&amp;[1]BALANZA!B3&amp;".")</f>
        <v>Principales funcionarios al 30 de junio del 2025.</v>
      </c>
      <c r="C14" s="287"/>
      <c r="D14" s="287"/>
      <c r="E14" s="287"/>
    </row>
    <row r="15" spans="1:10" ht="17.25" customHeight="1" x14ac:dyDescent="0.25">
      <c r="B15" s="13" t="s">
        <v>5</v>
      </c>
      <c r="C15" s="4" t="s">
        <v>6</v>
      </c>
      <c r="D15" s="4"/>
      <c r="F15" s="2"/>
      <c r="H15" s="2"/>
      <c r="J15" s="1"/>
    </row>
    <row r="16" spans="1:10" ht="17.25" customHeight="1" x14ac:dyDescent="0.25">
      <c r="B16" s="14" t="s">
        <v>7</v>
      </c>
      <c r="C16" s="1" t="s">
        <v>8</v>
      </c>
      <c r="D16" s="1"/>
      <c r="F16" s="2"/>
      <c r="H16" s="2"/>
      <c r="J16" s="1"/>
    </row>
    <row r="17" spans="2:10" ht="17.25" customHeight="1" x14ac:dyDescent="0.25">
      <c r="B17" s="15" t="s">
        <v>9</v>
      </c>
      <c r="C17" s="1" t="s">
        <v>10</v>
      </c>
      <c r="D17" s="1"/>
      <c r="F17" s="2"/>
      <c r="H17" s="2"/>
      <c r="J17" s="1"/>
    </row>
    <row r="18" spans="2:10" ht="17.25" customHeight="1" x14ac:dyDescent="0.25">
      <c r="B18" s="16" t="s">
        <v>11</v>
      </c>
      <c r="C18" s="1" t="s">
        <v>12</v>
      </c>
      <c r="F18" s="2"/>
      <c r="H18" s="2"/>
      <c r="J18" s="1"/>
    </row>
    <row r="19" spans="2:10" ht="17.25" customHeight="1" x14ac:dyDescent="0.25">
      <c r="B19" s="15" t="s">
        <v>13</v>
      </c>
      <c r="C19" s="1" t="s">
        <v>14</v>
      </c>
      <c r="F19" s="2"/>
      <c r="H19" s="2"/>
      <c r="J19" s="1"/>
    </row>
    <row r="20" spans="2:10" ht="17.25" customHeight="1" x14ac:dyDescent="0.25">
      <c r="B20" s="15" t="s">
        <v>15</v>
      </c>
      <c r="C20" s="1" t="s">
        <v>16</v>
      </c>
      <c r="F20" s="2"/>
      <c r="H20" s="2"/>
      <c r="J20" s="1"/>
    </row>
    <row r="21" spans="2:10" ht="17.25" customHeight="1" x14ac:dyDescent="0.25">
      <c r="B21" s="15" t="s">
        <v>17</v>
      </c>
      <c r="C21" s="1" t="s">
        <v>18</v>
      </c>
      <c r="F21" s="2"/>
      <c r="H21" s="2"/>
      <c r="J21" s="1"/>
    </row>
    <row r="22" spans="2:10" ht="17.25" customHeight="1" x14ac:dyDescent="0.25">
      <c r="B22" s="15" t="s">
        <v>19</v>
      </c>
      <c r="C22" s="1" t="s">
        <v>20</v>
      </c>
      <c r="F22" s="2"/>
      <c r="H22" s="2"/>
      <c r="J22" s="1"/>
    </row>
    <row r="23" spans="2:10" ht="17.25" customHeight="1" x14ac:dyDescent="0.25">
      <c r="B23" s="15" t="s">
        <v>21</v>
      </c>
      <c r="C23" s="1" t="s">
        <v>22</v>
      </c>
      <c r="F23" s="2"/>
      <c r="H23" s="2"/>
      <c r="J23" s="1"/>
    </row>
    <row r="24" spans="2:10" ht="17.25" customHeight="1" x14ac:dyDescent="0.25">
      <c r="B24" s="15" t="s">
        <v>23</v>
      </c>
      <c r="C24" s="1" t="s">
        <v>24</v>
      </c>
      <c r="F24" s="2"/>
      <c r="H24" s="2"/>
      <c r="J24" s="1"/>
    </row>
    <row r="25" spans="2:10" ht="17.25" customHeight="1" x14ac:dyDescent="0.25">
      <c r="B25" s="15" t="s">
        <v>25</v>
      </c>
      <c r="C25" s="1" t="s">
        <v>26</v>
      </c>
      <c r="F25" s="2"/>
      <c r="H25" s="2"/>
      <c r="J25" s="1"/>
    </row>
    <row r="26" spans="2:10" ht="17.25" customHeight="1" x14ac:dyDescent="0.25">
      <c r="B26" s="14" t="s">
        <v>27</v>
      </c>
      <c r="C26" s="1" t="s">
        <v>28</v>
      </c>
      <c r="D26" s="1"/>
      <c r="F26" s="2"/>
      <c r="H26" s="2"/>
      <c r="J26" s="1"/>
    </row>
    <row r="27" spans="2:10" x14ac:dyDescent="0.25">
      <c r="B27" s="15" t="s">
        <v>29</v>
      </c>
      <c r="C27" s="1" t="s">
        <v>30</v>
      </c>
      <c r="D27" s="1"/>
      <c r="F27" s="2"/>
      <c r="H27" s="2"/>
      <c r="J27" s="1"/>
    </row>
    <row r="28" spans="2:10" x14ac:dyDescent="0.25">
      <c r="B28" s="15" t="s">
        <v>31</v>
      </c>
      <c r="C28" s="1" t="s">
        <v>32</v>
      </c>
      <c r="D28" s="1"/>
      <c r="F28" s="2"/>
      <c r="H28" s="2"/>
      <c r="J28" s="1"/>
    </row>
    <row r="29" spans="2:10" x14ac:dyDescent="0.25">
      <c r="B29" s="14" t="s">
        <v>33</v>
      </c>
      <c r="C29" s="1" t="s">
        <v>34</v>
      </c>
      <c r="D29" s="1"/>
      <c r="F29" s="2"/>
      <c r="H29" s="2"/>
      <c r="J29" s="1"/>
    </row>
    <row r="30" spans="2:10" x14ac:dyDescent="0.25">
      <c r="B30" s="14" t="s">
        <v>35</v>
      </c>
      <c r="C30" s="1" t="s">
        <v>36</v>
      </c>
      <c r="D30" s="1"/>
      <c r="F30" s="2"/>
      <c r="H30" s="2"/>
      <c r="J30" s="1"/>
    </row>
    <row r="31" spans="2:10" x14ac:dyDescent="0.25">
      <c r="D31" s="1"/>
      <c r="F31" s="2"/>
      <c r="H31" s="2"/>
      <c r="J31" s="1"/>
    </row>
    <row r="32" spans="2:10" x14ac:dyDescent="0.25">
      <c r="B32" s="13"/>
      <c r="C32" s="2"/>
      <c r="D32" s="1"/>
    </row>
    <row r="33" spans="2:5" x14ac:dyDescent="0.25">
      <c r="B33" s="13"/>
      <c r="C33" s="2"/>
      <c r="D33" s="1"/>
    </row>
    <row r="34" spans="2:5" x14ac:dyDescent="0.25">
      <c r="B34" s="13"/>
      <c r="C34" s="2"/>
      <c r="D34" s="1"/>
    </row>
    <row r="35" spans="2:5" x14ac:dyDescent="0.25">
      <c r="B35" s="13"/>
      <c r="C35" s="2"/>
      <c r="D35" s="1"/>
    </row>
    <row r="36" spans="2:5" x14ac:dyDescent="0.25">
      <c r="B36" s="13"/>
      <c r="C36" s="2"/>
      <c r="D36" s="1"/>
    </row>
    <row r="37" spans="2:5" x14ac:dyDescent="0.25">
      <c r="B37" s="13"/>
      <c r="C37" s="2"/>
      <c r="D37" s="1"/>
    </row>
    <row r="38" spans="2:5" x14ac:dyDescent="0.25">
      <c r="B38" s="13"/>
      <c r="C38" s="2"/>
      <c r="D38" s="1"/>
    </row>
    <row r="39" spans="2:5" x14ac:dyDescent="0.25">
      <c r="B39" s="13"/>
      <c r="C39" s="2"/>
      <c r="D39" s="1"/>
    </row>
    <row r="40" spans="2:5" x14ac:dyDescent="0.25">
      <c r="B40" s="13"/>
      <c r="C40" s="2"/>
      <c r="D40" s="1"/>
    </row>
    <row r="41" spans="2:5" x14ac:dyDescent="0.25">
      <c r="B41" s="13"/>
      <c r="C41" s="2"/>
      <c r="D41" s="1"/>
    </row>
    <row r="42" spans="2:5" x14ac:dyDescent="0.25">
      <c r="B42" s="13"/>
      <c r="C42" s="2"/>
      <c r="D42" s="1"/>
    </row>
    <row r="43" spans="2:5" x14ac:dyDescent="0.25">
      <c r="B43" s="13"/>
      <c r="C43" s="2"/>
      <c r="D43" s="1"/>
    </row>
    <row r="44" spans="2:5" x14ac:dyDescent="0.25">
      <c r="B44" s="13" t="s">
        <v>37</v>
      </c>
    </row>
    <row r="45" spans="2:5" ht="30" customHeight="1" x14ac:dyDescent="0.25">
      <c r="B45" s="283" t="s">
        <v>38</v>
      </c>
      <c r="C45" s="283"/>
      <c r="D45" s="283"/>
      <c r="E45" s="283"/>
    </row>
    <row r="46" spans="2:5" ht="60" customHeight="1" x14ac:dyDescent="0.25">
      <c r="B46" s="271" t="s">
        <v>39</v>
      </c>
      <c r="C46" s="271"/>
      <c r="D46" s="271"/>
      <c r="E46" s="271"/>
    </row>
    <row r="47" spans="2:5" ht="56.25" customHeight="1" x14ac:dyDescent="0.25">
      <c r="B47" s="271" t="s">
        <v>40</v>
      </c>
      <c r="C47" s="271"/>
      <c r="D47" s="271"/>
      <c r="E47" s="271"/>
    </row>
    <row r="48" spans="2:5" ht="69.75" customHeight="1" x14ac:dyDescent="0.25">
      <c r="B48" s="276" t="s">
        <v>41</v>
      </c>
      <c r="C48" s="276"/>
      <c r="D48" s="276"/>
      <c r="E48" s="276"/>
    </row>
    <row r="49" spans="2:5" ht="13.5" customHeight="1" x14ac:dyDescent="0.25">
      <c r="B49" s="17"/>
      <c r="C49" s="17"/>
      <c r="D49" s="17"/>
      <c r="E49" s="17"/>
    </row>
    <row r="50" spans="2:5" ht="13.5" customHeight="1" x14ac:dyDescent="0.25">
      <c r="B50" s="17"/>
      <c r="C50" s="17"/>
      <c r="D50" s="17"/>
      <c r="E50" s="17"/>
    </row>
    <row r="51" spans="2:5" ht="22.5" customHeight="1" x14ac:dyDescent="0.25">
      <c r="B51" s="283" t="s">
        <v>42</v>
      </c>
      <c r="C51" s="283"/>
      <c r="D51" s="283"/>
      <c r="E51" s="283"/>
    </row>
    <row r="52" spans="2:5" ht="21" customHeight="1" x14ac:dyDescent="0.25">
      <c r="B52" s="283" t="s">
        <v>43</v>
      </c>
      <c r="C52" s="283"/>
      <c r="D52" s="283"/>
      <c r="E52" s="283"/>
    </row>
    <row r="53" spans="2:5" ht="9.75" customHeight="1" x14ac:dyDescent="0.25">
      <c r="B53" s="10"/>
    </row>
    <row r="54" spans="2:5" ht="48" customHeight="1" x14ac:dyDescent="0.25">
      <c r="B54" s="292" t="s">
        <v>44</v>
      </c>
      <c r="C54" s="292"/>
      <c r="D54" s="292"/>
      <c r="E54" s="292"/>
    </row>
    <row r="55" spans="2:5" ht="14.25" customHeight="1" x14ac:dyDescent="0.25">
      <c r="B55" s="18"/>
      <c r="C55" s="18"/>
      <c r="D55" s="18"/>
      <c r="E55" s="18"/>
    </row>
    <row r="56" spans="2:5" ht="14.25" customHeight="1" x14ac:dyDescent="0.25">
      <c r="B56" s="18"/>
      <c r="C56" s="18"/>
      <c r="D56" s="18"/>
      <c r="E56" s="18"/>
    </row>
    <row r="57" spans="2:5" ht="25.5" customHeight="1" x14ac:dyDescent="0.25">
      <c r="B57" s="13" t="s">
        <v>45</v>
      </c>
      <c r="C57" s="18"/>
      <c r="D57" s="19"/>
      <c r="E57" s="18"/>
    </row>
    <row r="58" spans="2:5" x14ac:dyDescent="0.25">
      <c r="B58" s="13" t="s">
        <v>46</v>
      </c>
    </row>
    <row r="59" spans="2:5" ht="55.5" customHeight="1" x14ac:dyDescent="0.25">
      <c r="B59" s="271" t="s">
        <v>47</v>
      </c>
      <c r="C59" s="271"/>
      <c r="D59" s="271"/>
      <c r="E59" s="271"/>
    </row>
    <row r="60" spans="2:5" ht="27" customHeight="1" x14ac:dyDescent="0.25">
      <c r="B60" s="271" t="s">
        <v>48</v>
      </c>
      <c r="C60" s="271"/>
      <c r="D60" s="271"/>
      <c r="E60" s="271"/>
    </row>
    <row r="61" spans="2:5" x14ac:dyDescent="0.25">
      <c r="B61" s="283" t="s">
        <v>49</v>
      </c>
      <c r="C61" s="283"/>
      <c r="D61" s="283"/>
      <c r="E61" s="283"/>
    </row>
    <row r="62" spans="2:5" ht="73.5" customHeight="1" x14ac:dyDescent="0.25">
      <c r="B62" s="278" t="s">
        <v>50</v>
      </c>
      <c r="C62" s="278"/>
      <c r="D62" s="278"/>
      <c r="E62" s="278"/>
    </row>
    <row r="63" spans="2:5" x14ac:dyDescent="0.25">
      <c r="B63" s="283" t="s">
        <v>51</v>
      </c>
      <c r="C63" s="283"/>
      <c r="D63" s="283"/>
      <c r="E63" s="283"/>
    </row>
    <row r="64" spans="2:5" ht="68.25" customHeight="1" x14ac:dyDescent="0.25">
      <c r="B64" s="276" t="s">
        <v>52</v>
      </c>
      <c r="C64" s="276"/>
      <c r="D64" s="276"/>
      <c r="E64" s="276"/>
    </row>
    <row r="65" spans="2:5" ht="26.25" customHeight="1" x14ac:dyDescent="0.25">
      <c r="B65" s="17"/>
      <c r="C65" s="17"/>
      <c r="D65" s="17"/>
      <c r="E65" s="17"/>
    </row>
    <row r="66" spans="2:5" ht="25.5" customHeight="1" x14ac:dyDescent="0.25">
      <c r="B66" s="283" t="s">
        <v>53</v>
      </c>
      <c r="C66" s="283"/>
      <c r="D66" s="283"/>
      <c r="E66" s="283"/>
    </row>
    <row r="67" spans="2:5" ht="46.5" customHeight="1" x14ac:dyDescent="0.25">
      <c r="B67" s="271" t="s">
        <v>54</v>
      </c>
      <c r="C67" s="271"/>
      <c r="D67" s="271"/>
      <c r="E67" s="271"/>
    </row>
    <row r="68" spans="2:5" ht="43.5" hidden="1" customHeight="1" x14ac:dyDescent="0.25">
      <c r="B68" s="291" t="s">
        <v>55</v>
      </c>
      <c r="C68" s="291"/>
      <c r="D68" s="291"/>
      <c r="E68" s="291"/>
    </row>
    <row r="69" spans="2:5" ht="58.5" hidden="1" customHeight="1" x14ac:dyDescent="0.25">
      <c r="B69" s="291" t="s">
        <v>56</v>
      </c>
      <c r="C69" s="291"/>
      <c r="D69" s="291"/>
      <c r="E69" s="291"/>
    </row>
    <row r="70" spans="2:5" ht="30" hidden="1" customHeight="1" x14ac:dyDescent="0.25">
      <c r="B70" s="291" t="s">
        <v>57</v>
      </c>
      <c r="C70" s="291"/>
      <c r="D70" s="291"/>
      <c r="E70" s="291"/>
    </row>
    <row r="71" spans="2:5" hidden="1" x14ac:dyDescent="0.25">
      <c r="B71" s="291" t="s">
        <v>58</v>
      </c>
      <c r="C71" s="291"/>
      <c r="D71" s="291"/>
      <c r="E71" s="291"/>
    </row>
    <row r="72" spans="2:5" ht="63.75" hidden="1" customHeight="1" x14ac:dyDescent="0.25">
      <c r="B72" s="291" t="s">
        <v>59</v>
      </c>
      <c r="C72" s="291"/>
      <c r="D72" s="291"/>
      <c r="E72" s="291"/>
    </row>
    <row r="73" spans="2:5" ht="42" hidden="1" customHeight="1" x14ac:dyDescent="0.25">
      <c r="B73" s="291" t="s">
        <v>60</v>
      </c>
      <c r="C73" s="291"/>
      <c r="D73" s="291"/>
      <c r="E73" s="291"/>
    </row>
    <row r="74" spans="2:5" ht="78.75" hidden="1" customHeight="1" x14ac:dyDescent="0.25">
      <c r="B74" s="291" t="s">
        <v>61</v>
      </c>
      <c r="C74" s="291"/>
      <c r="D74" s="291"/>
      <c r="E74" s="291"/>
    </row>
    <row r="75" spans="2:5" ht="66" hidden="1" customHeight="1" x14ac:dyDescent="0.25">
      <c r="B75" s="291" t="s">
        <v>62</v>
      </c>
      <c r="C75" s="291"/>
      <c r="D75" s="291"/>
      <c r="E75" s="291"/>
    </row>
    <row r="76" spans="2:5" ht="13.5" customHeight="1" x14ac:dyDescent="0.25">
      <c r="B76" s="20"/>
      <c r="C76" s="20"/>
      <c r="D76" s="21"/>
      <c r="E76" s="20"/>
    </row>
    <row r="77" spans="2:5" ht="26.25" customHeight="1" x14ac:dyDescent="0.25">
      <c r="B77" s="283" t="s">
        <v>63</v>
      </c>
      <c r="C77" s="283"/>
      <c r="D77" s="283"/>
      <c r="E77" s="283"/>
    </row>
    <row r="78" spans="2:5" ht="34.5" customHeight="1" x14ac:dyDescent="0.25">
      <c r="B78" s="286" t="s">
        <v>64</v>
      </c>
      <c r="C78" s="286"/>
      <c r="D78" s="286"/>
      <c r="E78" s="286"/>
    </row>
    <row r="79" spans="2:5" ht="15.75" customHeight="1" x14ac:dyDescent="0.25">
      <c r="B79" s="20"/>
      <c r="C79" s="20"/>
      <c r="D79" s="20"/>
      <c r="E79" s="20"/>
    </row>
    <row r="80" spans="2:5" ht="15.75" customHeight="1" x14ac:dyDescent="0.25">
      <c r="B80" s="22" t="s">
        <v>65</v>
      </c>
      <c r="C80" s="20"/>
      <c r="D80" s="21"/>
      <c r="E80" s="20"/>
    </row>
    <row r="81" spans="2:5" ht="20.25" customHeight="1" x14ac:dyDescent="0.25">
      <c r="B81" s="283" t="s">
        <v>66</v>
      </c>
      <c r="C81" s="283"/>
      <c r="D81" s="283"/>
      <c r="E81" s="283"/>
    </row>
    <row r="82" spans="2:5" x14ac:dyDescent="0.25">
      <c r="B82" s="283" t="s">
        <v>67</v>
      </c>
      <c r="C82" s="283"/>
      <c r="D82" s="283"/>
      <c r="E82" s="283"/>
    </row>
    <row r="83" spans="2:5" ht="49.5" customHeight="1" x14ac:dyDescent="0.25">
      <c r="B83" s="286" t="s">
        <v>68</v>
      </c>
      <c r="C83" s="286"/>
      <c r="D83" s="286"/>
      <c r="E83" s="286"/>
    </row>
    <row r="84" spans="2:5" x14ac:dyDescent="0.25">
      <c r="B84" s="283" t="s">
        <v>69</v>
      </c>
      <c r="C84" s="283"/>
      <c r="D84" s="283"/>
      <c r="E84" s="283"/>
    </row>
    <row r="85" spans="2:5" ht="45" customHeight="1" x14ac:dyDescent="0.25">
      <c r="B85" s="271" t="s">
        <v>70</v>
      </c>
      <c r="C85" s="271"/>
      <c r="D85" s="271"/>
      <c r="E85" s="271"/>
    </row>
    <row r="86" spans="2:5" x14ac:dyDescent="0.25">
      <c r="B86" s="283" t="s">
        <v>71</v>
      </c>
      <c r="C86" s="283"/>
      <c r="D86" s="283"/>
      <c r="E86" s="283"/>
    </row>
    <row r="87" spans="2:5" ht="39.75" customHeight="1" x14ac:dyDescent="0.25">
      <c r="B87" s="271" t="s">
        <v>72</v>
      </c>
      <c r="C87" s="271"/>
      <c r="D87" s="271"/>
      <c r="E87" s="271"/>
    </row>
    <row r="88" spans="2:5" x14ac:dyDescent="0.25">
      <c r="B88" s="283" t="s">
        <v>73</v>
      </c>
      <c r="C88" s="283"/>
      <c r="D88" s="283"/>
      <c r="E88" s="283"/>
    </row>
    <row r="89" spans="2:5" ht="40.5" customHeight="1" x14ac:dyDescent="0.25">
      <c r="B89" s="271" t="s">
        <v>74</v>
      </c>
      <c r="C89" s="271"/>
      <c r="D89" s="271"/>
      <c r="E89" s="271"/>
    </row>
    <row r="90" spans="2:5" x14ac:dyDescent="0.25">
      <c r="B90" s="283" t="s">
        <v>75</v>
      </c>
      <c r="C90" s="283"/>
      <c r="D90" s="283"/>
      <c r="E90" s="283"/>
    </row>
    <row r="91" spans="2:5" ht="39" customHeight="1" x14ac:dyDescent="0.25">
      <c r="B91" s="271" t="s">
        <v>76</v>
      </c>
      <c r="C91" s="271"/>
      <c r="D91" s="271"/>
      <c r="E91" s="271"/>
    </row>
    <row r="92" spans="2:5" x14ac:dyDescent="0.25">
      <c r="B92" s="283" t="s">
        <v>77</v>
      </c>
      <c r="C92" s="283"/>
      <c r="D92" s="283"/>
      <c r="E92" s="283"/>
    </row>
    <row r="93" spans="2:5" ht="25.5" customHeight="1" x14ac:dyDescent="0.25">
      <c r="B93" s="283" t="s">
        <v>78</v>
      </c>
      <c r="C93" s="283"/>
      <c r="D93" s="283"/>
      <c r="E93" s="283"/>
    </row>
    <row r="94" spans="2:5" ht="45" customHeight="1" x14ac:dyDescent="0.25">
      <c r="B94" s="271" t="s">
        <v>79</v>
      </c>
      <c r="C94" s="271"/>
      <c r="D94" s="271"/>
      <c r="E94" s="271"/>
    </row>
    <row r="95" spans="2:5" ht="35.25" customHeight="1" x14ac:dyDescent="0.25">
      <c r="B95" s="271" t="s">
        <v>80</v>
      </c>
      <c r="C95" s="271"/>
      <c r="D95" s="271"/>
      <c r="E95" s="271"/>
    </row>
    <row r="96" spans="2:5" ht="39.75" customHeight="1" x14ac:dyDescent="0.25">
      <c r="B96" s="276" t="s">
        <v>81</v>
      </c>
      <c r="C96" s="276"/>
      <c r="D96" s="276"/>
      <c r="E96" s="276"/>
    </row>
    <row r="97" spans="2:5" ht="51.75" customHeight="1" x14ac:dyDescent="0.25">
      <c r="B97" s="271" t="s">
        <v>82</v>
      </c>
      <c r="C97" s="271"/>
      <c r="D97" s="271"/>
      <c r="E97" s="271"/>
    </row>
    <row r="98" spans="2:5" ht="19.5" customHeight="1" x14ac:dyDescent="0.25">
      <c r="B98" s="12"/>
      <c r="C98" s="12"/>
      <c r="D98" s="12"/>
      <c r="E98" s="12"/>
    </row>
    <row r="99" spans="2:5" ht="19.5" customHeight="1" x14ac:dyDescent="0.25">
      <c r="B99" s="12"/>
      <c r="C99" s="12"/>
      <c r="D99" s="12"/>
      <c r="E99" s="12"/>
    </row>
    <row r="100" spans="2:5" ht="21" customHeight="1" x14ac:dyDescent="0.25">
      <c r="B100" s="12"/>
      <c r="C100" s="12"/>
      <c r="D100" s="12"/>
      <c r="E100" s="12"/>
    </row>
    <row r="101" spans="2:5" ht="24.75" customHeight="1" x14ac:dyDescent="0.25">
      <c r="B101" s="12"/>
      <c r="C101" s="12"/>
      <c r="D101" s="12"/>
      <c r="E101" s="12"/>
    </row>
    <row r="102" spans="2:5" ht="33" customHeight="1" x14ac:dyDescent="0.25">
      <c r="B102" s="12"/>
      <c r="C102" s="12"/>
      <c r="D102" s="12"/>
      <c r="E102" s="12"/>
    </row>
    <row r="103" spans="2:5" ht="36.75" customHeight="1" x14ac:dyDescent="0.25">
      <c r="B103" s="271" t="s">
        <v>83</v>
      </c>
      <c r="C103" s="271"/>
      <c r="D103" s="271"/>
      <c r="E103" s="271"/>
    </row>
    <row r="104" spans="2:5" ht="77.25" customHeight="1" x14ac:dyDescent="0.25">
      <c r="B104" s="271" t="s">
        <v>84</v>
      </c>
      <c r="C104" s="271"/>
      <c r="D104" s="271"/>
      <c r="E104" s="271"/>
    </row>
    <row r="105" spans="2:5" ht="18.75" customHeight="1" x14ac:dyDescent="0.25">
      <c r="B105" s="287" t="s">
        <v>85</v>
      </c>
      <c r="C105" s="287"/>
      <c r="D105" s="287"/>
      <c r="E105" s="287"/>
    </row>
    <row r="106" spans="2:5" ht="66.75" customHeight="1" x14ac:dyDescent="0.25">
      <c r="B106" s="271" t="s">
        <v>86</v>
      </c>
      <c r="C106" s="271"/>
      <c r="D106" s="271"/>
      <c r="E106" s="271"/>
    </row>
    <row r="107" spans="2:5" ht="55.5" customHeight="1" x14ac:dyDescent="0.25">
      <c r="B107" s="271" t="s">
        <v>87</v>
      </c>
      <c r="C107" s="271"/>
      <c r="D107" s="271"/>
      <c r="E107" s="271"/>
    </row>
    <row r="108" spans="2:5" ht="18.75" customHeight="1" x14ac:dyDescent="0.25">
      <c r="B108" s="287" t="s">
        <v>88</v>
      </c>
      <c r="C108" s="287"/>
      <c r="D108" s="287"/>
      <c r="E108" s="287"/>
    </row>
    <row r="109" spans="2:5" ht="42" customHeight="1" x14ac:dyDescent="0.25">
      <c r="B109" s="271" t="s">
        <v>89</v>
      </c>
      <c r="C109" s="271"/>
      <c r="D109" s="271"/>
      <c r="E109" s="271"/>
    </row>
    <row r="110" spans="2:5" x14ac:dyDescent="0.25">
      <c r="B110" s="283" t="s">
        <v>90</v>
      </c>
      <c r="C110" s="283"/>
      <c r="D110" s="283"/>
      <c r="E110" s="283"/>
    </row>
    <row r="111" spans="2:5" ht="21.75" customHeight="1" x14ac:dyDescent="0.25">
      <c r="B111" s="283" t="s">
        <v>91</v>
      </c>
      <c r="C111" s="283"/>
      <c r="D111" s="283"/>
      <c r="E111" s="283"/>
    </row>
    <row r="112" spans="2:5" ht="30.75" customHeight="1" x14ac:dyDescent="0.25">
      <c r="B112" s="276" t="str">
        <f>("Un detalle del "&amp;_Toc208202813&amp;" al "&amp;[1]BALANZA!$B$3&amp;" "&amp;[1]BALANZA!$C$3&amp;" es como se detalla a continuación:")</f>
        <v>Un detalle del Efectivo y equivalentes de efectivo. al 30 de junio del 2025 - 2024 es como se detalla a continuación:</v>
      </c>
      <c r="C112" s="277"/>
      <c r="D112" s="277"/>
      <c r="E112" s="277"/>
    </row>
    <row r="113" spans="2:26" ht="37.5" customHeight="1" x14ac:dyDescent="0.25">
      <c r="B113" s="271"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2025 RD$338,877,411.35  y para el 2024 fue de RD$ 255,918,613.21 , el cual se detalla a continuación:</v>
      </c>
      <c r="C113" s="271"/>
      <c r="D113" s="271"/>
      <c r="E113" s="271"/>
    </row>
    <row r="114" spans="2:26" ht="75" customHeight="1" x14ac:dyDescent="0.25">
      <c r="B114" s="271" t="s">
        <v>92</v>
      </c>
      <c r="C114" s="271"/>
      <c r="D114" s="271"/>
      <c r="E114" s="271"/>
    </row>
    <row r="115" spans="2:26" ht="22.5" customHeight="1" x14ac:dyDescent="0.25">
      <c r="B115" s="271" t="s">
        <v>93</v>
      </c>
      <c r="C115" s="271"/>
      <c r="D115" s="271"/>
      <c r="E115" s="271"/>
    </row>
    <row r="116" spans="2:26" ht="7.5" customHeight="1" x14ac:dyDescent="0.25">
      <c r="B116" s="10"/>
    </row>
    <row r="117" spans="2:26" x14ac:dyDescent="0.25">
      <c r="B117" s="23" t="s">
        <v>94</v>
      </c>
      <c r="C117" s="24">
        <f>+[1]BALANZA!B4</f>
        <v>2025</v>
      </c>
      <c r="D117" s="25">
        <f>+[1]BALANZA!C4</f>
        <v>2024</v>
      </c>
      <c r="E117" s="26" t="s">
        <v>95</v>
      </c>
    </row>
    <row r="118" spans="2:26" ht="18" hidden="1" customHeight="1" x14ac:dyDescent="0.25">
      <c r="B118" s="27" t="s">
        <v>96</v>
      </c>
      <c r="C118" s="28">
        <f>+'[1]BALANZA G'!C12</f>
        <v>0</v>
      </c>
      <c r="D118" s="29">
        <f>+'[1]BALANZA G'!D12</f>
        <v>0</v>
      </c>
      <c r="E118" s="30">
        <f t="shared" ref="E118:E124" si="0">+C118-D118</f>
        <v>0</v>
      </c>
    </row>
    <row r="119" spans="2:26" ht="18" customHeight="1" x14ac:dyDescent="0.25">
      <c r="B119" s="27" t="s">
        <v>97</v>
      </c>
      <c r="C119" s="28">
        <f>+'[1]BALANZA G'!C13</f>
        <v>95000</v>
      </c>
      <c r="D119" s="29">
        <v>110000</v>
      </c>
      <c r="E119" s="30">
        <f t="shared" si="0"/>
        <v>-15000</v>
      </c>
    </row>
    <row r="120" spans="2:26" ht="18" customHeight="1" x14ac:dyDescent="0.25">
      <c r="B120" s="27" t="s">
        <v>98</v>
      </c>
      <c r="C120" s="28">
        <f>+'[1]BALANZA G'!C23</f>
        <v>1216.2</v>
      </c>
      <c r="D120" s="28">
        <v>273250.45</v>
      </c>
      <c r="E120" s="30">
        <f t="shared" si="0"/>
        <v>-272034.25</v>
      </c>
    </row>
    <row r="121" spans="2:26" ht="18" customHeight="1" x14ac:dyDescent="0.25">
      <c r="B121" s="31" t="s">
        <v>99</v>
      </c>
      <c r="C121" s="28">
        <f>+'[1]BALANZA G'!C25</f>
        <v>1215036.8700000001</v>
      </c>
      <c r="D121" s="28">
        <v>696670.93</v>
      </c>
      <c r="E121" s="32">
        <f t="shared" si="0"/>
        <v>518365.94000000006</v>
      </c>
    </row>
    <row r="122" spans="2:26" ht="30" customHeight="1" x14ac:dyDescent="0.25">
      <c r="B122" s="27" t="s">
        <v>100</v>
      </c>
      <c r="C122" s="28">
        <f>+'[1]BALANZA G'!C24</f>
        <v>0</v>
      </c>
      <c r="D122" s="28">
        <v>33577403.869999997</v>
      </c>
      <c r="E122" s="30">
        <f t="shared" si="0"/>
        <v>-33577403.869999997</v>
      </c>
    </row>
    <row r="123" spans="2:26" ht="17.25" customHeight="1" x14ac:dyDescent="0.25">
      <c r="B123" s="27" t="s">
        <v>101</v>
      </c>
      <c r="C123" s="28">
        <f>+'[1]BALANZA G'!C26</f>
        <v>829255.48</v>
      </c>
      <c r="D123" s="28">
        <v>937623.2</v>
      </c>
      <c r="E123" s="30">
        <f t="shared" si="0"/>
        <v>-108367.71999999997</v>
      </c>
    </row>
    <row r="124" spans="2:26" ht="17.25" customHeight="1" x14ac:dyDescent="0.25">
      <c r="B124" s="33" t="s">
        <v>102</v>
      </c>
      <c r="C124" s="34">
        <f>+'[1]BALANZA G'!C27+'[1]BALANZA G'!C22</f>
        <v>336736902.80000001</v>
      </c>
      <c r="D124" s="28">
        <v>220323664.75999999</v>
      </c>
      <c r="E124" s="30">
        <f t="shared" si="0"/>
        <v>116413238.04000002</v>
      </c>
    </row>
    <row r="125" spans="2:26" ht="12.75" hidden="1" customHeight="1" x14ac:dyDescent="0.25">
      <c r="B125" s="33" t="s">
        <v>103</v>
      </c>
      <c r="C125" s="34">
        <f>+'[1]BALANZA G'!C28</f>
        <v>0</v>
      </c>
      <c r="D125" s="28">
        <v>0</v>
      </c>
      <c r="E125" s="30"/>
    </row>
    <row r="126" spans="2:26" s="35" customFormat="1" ht="12.75" customHeight="1" x14ac:dyDescent="0.25">
      <c r="B126" s="36" t="s">
        <v>104</v>
      </c>
      <c r="C126" s="37">
        <f>SUM(C118:C125)</f>
        <v>338877411.35000002</v>
      </c>
      <c r="D126" s="37">
        <f>SUM(D118:D125)</f>
        <v>255918613.20999998</v>
      </c>
      <c r="E126" s="38">
        <f>SUM(E118:E122)</f>
        <v>-33346072.179999996</v>
      </c>
      <c r="J126" s="39"/>
      <c r="K126" s="39"/>
      <c r="N126" s="39"/>
      <c r="R126" s="3" t="str">
        <f>+CONCATENATE(T126,",",U126,",",V126,W126)</f>
        <v>338,877,411.35</v>
      </c>
      <c r="S126" s="3"/>
      <c r="T126" s="3" t="str">
        <f>MID(C126,1,3)</f>
        <v>338</v>
      </c>
      <c r="U126" s="3" t="str">
        <f>MID(C126,4,3)</f>
        <v>877</v>
      </c>
      <c r="V126" s="3" t="str">
        <f>MID(C126,7,3)</f>
        <v>411</v>
      </c>
      <c r="W126" s="3" t="str">
        <f>MID(C126,10,3)</f>
        <v>.35</v>
      </c>
      <c r="X126" s="3"/>
      <c r="Y126" s="40"/>
      <c r="Z126" s="39"/>
    </row>
    <row r="127" spans="2:26" s="35" customFormat="1" x14ac:dyDescent="0.25">
      <c r="B127" s="41"/>
      <c r="C127" s="42">
        <f>+C126-'[1]ES F '!B11</f>
        <v>0</v>
      </c>
      <c r="D127" s="43"/>
      <c r="E127" s="44"/>
      <c r="J127" s="39"/>
      <c r="K127" s="39"/>
      <c r="N127" s="39"/>
      <c r="R127" s="3" t="str">
        <f>+CONCATENATE(T127,",",U127,",",V127,W127)</f>
        <v>255,918,613.21</v>
      </c>
      <c r="S127" s="3"/>
      <c r="T127" s="3" t="str">
        <f>MID(D126,1,3)</f>
        <v>255</v>
      </c>
      <c r="U127" s="3" t="str">
        <f>MID(D126,4,3)</f>
        <v>918</v>
      </c>
      <c r="V127" s="3" t="str">
        <f>MID(D126,7,3)</f>
        <v>613</v>
      </c>
      <c r="W127" s="3" t="str">
        <f>MID(D126,10,3)</f>
        <v>.21</v>
      </c>
      <c r="X127" s="3" t="str">
        <f>MID(E127,7,3)</f>
        <v/>
      </c>
      <c r="Y127" s="3" t="str">
        <f>MID(C127,10,3)</f>
        <v/>
      </c>
      <c r="Z127" s="39"/>
    </row>
    <row r="128" spans="2:26" s="35" customFormat="1" x14ac:dyDescent="0.25">
      <c r="B128" s="272" t="str">
        <f>("Cambio porcentual con relación al "&amp;$D$117&amp;".")</f>
        <v>Cambio porcentual con relación al 2024.</v>
      </c>
      <c r="C128" s="273"/>
      <c r="D128" s="45" t="str">
        <f>IF(E128&gt;=0,"Aumento","Disminución")</f>
        <v>Disminución</v>
      </c>
      <c r="E128" s="46">
        <f>+E126/D126</f>
        <v>-0.13029951890461794</v>
      </c>
      <c r="J128" s="39"/>
      <c r="K128" s="39"/>
      <c r="N128" s="39"/>
      <c r="R128" s="40"/>
      <c r="S128" s="40"/>
      <c r="T128" s="40"/>
      <c r="U128" s="40"/>
      <c r="V128" s="40"/>
      <c r="W128" s="40"/>
      <c r="X128" s="40"/>
      <c r="Y128" s="40"/>
      <c r="Z128" s="39"/>
    </row>
    <row r="129" spans="2:26" s="35" customFormat="1" x14ac:dyDescent="0.25">
      <c r="B129" s="47"/>
      <c r="C129" s="47"/>
      <c r="D129" s="48"/>
      <c r="E129" s="49"/>
      <c r="J129" s="39"/>
      <c r="K129" s="39"/>
      <c r="N129" s="39"/>
      <c r="R129" s="40"/>
      <c r="S129" s="40"/>
      <c r="T129" s="40"/>
      <c r="U129" s="40"/>
      <c r="V129" s="40"/>
      <c r="W129" s="40"/>
      <c r="X129" s="40"/>
      <c r="Y129" s="40"/>
      <c r="Z129" s="39"/>
    </row>
    <row r="130" spans="2:26" s="35" customFormat="1" x14ac:dyDescent="0.25">
      <c r="B130" s="50"/>
      <c r="C130" s="50"/>
      <c r="D130" s="48"/>
      <c r="E130" s="51"/>
      <c r="J130" s="39"/>
      <c r="K130" s="39"/>
      <c r="N130" s="39"/>
      <c r="R130" s="40"/>
      <c r="S130" s="40"/>
      <c r="T130" s="40"/>
      <c r="U130" s="40"/>
      <c r="V130" s="40"/>
      <c r="W130" s="40"/>
      <c r="X130" s="40"/>
      <c r="Y130" s="40"/>
      <c r="Z130" s="39"/>
    </row>
    <row r="131" spans="2:26" s="35" customFormat="1" x14ac:dyDescent="0.25">
      <c r="B131" s="50"/>
      <c r="C131" s="50"/>
      <c r="D131" s="48"/>
      <c r="E131" s="51"/>
      <c r="J131" s="39"/>
      <c r="K131" s="39"/>
      <c r="N131" s="39"/>
      <c r="R131" s="40"/>
      <c r="S131" s="40"/>
      <c r="T131" s="40"/>
      <c r="U131" s="40"/>
      <c r="V131" s="40"/>
      <c r="W131" s="40"/>
      <c r="X131" s="40"/>
      <c r="Y131" s="40"/>
      <c r="Z131" s="39"/>
    </row>
    <row r="132" spans="2:26" s="35" customFormat="1" x14ac:dyDescent="0.25">
      <c r="B132" s="50"/>
      <c r="C132" s="50"/>
      <c r="D132" s="48"/>
      <c r="E132" s="51"/>
      <c r="J132" s="39"/>
      <c r="K132" s="39"/>
      <c r="N132" s="39"/>
      <c r="R132" s="40"/>
      <c r="S132" s="40"/>
      <c r="T132" s="40"/>
      <c r="U132" s="40"/>
      <c r="V132" s="40"/>
      <c r="W132" s="40"/>
      <c r="X132" s="40"/>
      <c r="Y132" s="40"/>
      <c r="Z132" s="39"/>
    </row>
    <row r="133" spans="2:26" s="35" customFormat="1" x14ac:dyDescent="0.25">
      <c r="B133" s="50"/>
      <c r="C133" s="50"/>
      <c r="D133" s="48"/>
      <c r="E133" s="51"/>
      <c r="J133" s="39"/>
      <c r="K133" s="39"/>
      <c r="N133" s="39"/>
      <c r="R133" s="40"/>
      <c r="S133" s="40"/>
      <c r="T133" s="40"/>
      <c r="U133" s="40"/>
      <c r="V133" s="40"/>
      <c r="W133" s="40"/>
      <c r="X133" s="40"/>
      <c r="Y133" s="40"/>
      <c r="Z133" s="39"/>
    </row>
    <row r="134" spans="2:26" hidden="1" x14ac:dyDescent="0.25">
      <c r="B134" s="9" t="s">
        <v>105</v>
      </c>
    </row>
    <row r="135" spans="2:26" hidden="1" x14ac:dyDescent="0.25">
      <c r="B135" s="290" t="s">
        <v>106</v>
      </c>
      <c r="C135" s="290"/>
      <c r="D135" s="290"/>
      <c r="E135" s="290"/>
    </row>
    <row r="136" spans="2:26" ht="23.25" hidden="1" customHeight="1" x14ac:dyDescent="0.25">
      <c r="B136" s="276" t="str">
        <f>("Un detalle del "&amp;B135&amp;" al "&amp;[1]BALANZA!$B$3&amp;" "&amp;[1]BALANZA!$C$3&amp;" es como se detalla a continuación:")</f>
        <v>Un detalle del Inversiones a corto plazo al 30 de junio del 2025 - 2024 es como se detalla a continuación:</v>
      </c>
      <c r="C136" s="277"/>
      <c r="D136" s="277"/>
      <c r="E136" s="277"/>
    </row>
    <row r="137" spans="2:26" ht="45" hidden="1" customHeight="1" x14ac:dyDescent="0.25">
      <c r="B137" s="271" t="str">
        <f>("Las inversiones a corto plazo enta integrado por un certificado financiero en el banco de reservas a un año renobable a la tasa de 0.12% anual, para el "&amp;C139&amp;" el total era de RD$ "&amp;R142&amp;" en vista de que se cancelo y para el "&amp;D139&amp;" el total fue de RD$ "&amp;R143&amp;" , Según el siguiente detalle:")</f>
        <v>Las inversiones a corto plazo enta integrado por un certificado financiero en el banco de reservas a un año renobable a la tasa de 0.12% anual, para el 2025 el total era de RD$ 0.00 en vista de que se cancelo y para el 2024 el total fue de RD$ 0,.00 , Según el siguiente detalle:</v>
      </c>
      <c r="C137" s="271"/>
      <c r="D137" s="271"/>
      <c r="E137" s="271"/>
    </row>
    <row r="138" spans="2:26" hidden="1" x14ac:dyDescent="0.25">
      <c r="B138" s="52"/>
    </row>
    <row r="139" spans="2:26" hidden="1" x14ac:dyDescent="0.25">
      <c r="B139" s="26" t="s">
        <v>94</v>
      </c>
      <c r="C139" s="26">
        <f>+[1]BALANZA!B4</f>
        <v>2025</v>
      </c>
      <c r="D139" s="26">
        <f>+[1]BALANZA!C4</f>
        <v>2024</v>
      </c>
      <c r="E139" s="26" t="s">
        <v>95</v>
      </c>
    </row>
    <row r="140" spans="2:26" hidden="1" x14ac:dyDescent="0.25">
      <c r="B140" s="53" t="s">
        <v>107</v>
      </c>
      <c r="C140" s="54">
        <f>+'[1]BALANZA G'!C15</f>
        <v>80000</v>
      </c>
      <c r="D140" s="55">
        <f>+'[1]BALANZA G'!D15</f>
        <v>80000</v>
      </c>
      <c r="E140" s="56">
        <f>+C140-D140</f>
        <v>0</v>
      </c>
    </row>
    <row r="141" spans="2:26" hidden="1" x14ac:dyDescent="0.25">
      <c r="B141" s="53" t="s">
        <v>108</v>
      </c>
      <c r="C141" s="57">
        <f>+'[1]BALANZA G'!C30</f>
        <v>0</v>
      </c>
      <c r="D141" s="58">
        <f>+'[1]BALANZA G'!D30</f>
        <v>0</v>
      </c>
      <c r="E141" s="59">
        <f>+C141-D141</f>
        <v>0</v>
      </c>
    </row>
    <row r="142" spans="2:26" hidden="1" x14ac:dyDescent="0.25">
      <c r="B142" s="60" t="s">
        <v>109</v>
      </c>
      <c r="C142" s="38">
        <f>SUM(C141:C141)</f>
        <v>0</v>
      </c>
      <c r="D142" s="61">
        <f>SUM(D141:D141)</f>
        <v>0</v>
      </c>
      <c r="E142" s="38">
        <f>SUM(E140:E141)</f>
        <v>0</v>
      </c>
      <c r="R142" s="3" t="str">
        <f>+CONCATENATE(S142,T142,U142,".00")</f>
        <v>0.00</v>
      </c>
      <c r="S142" s="3" t="str">
        <f>MID(C142,1,3)</f>
        <v>0</v>
      </c>
      <c r="T142" s="3" t="str">
        <f>MID(C141,4,3)</f>
        <v/>
      </c>
      <c r="U142" s="3" t="str">
        <f>MID(D141,7,3)</f>
        <v/>
      </c>
    </row>
    <row r="143" spans="2:26" hidden="1" x14ac:dyDescent="0.25">
      <c r="B143" s="62"/>
      <c r="C143" s="63">
        <f>+C142-'[1]ES F '!B12</f>
        <v>0</v>
      </c>
      <c r="D143" s="64"/>
      <c r="E143" s="63"/>
      <c r="R143" s="3" t="str">
        <f>+CONCATENATE(S143,",",T143,U143,".00")</f>
        <v>0,.00</v>
      </c>
      <c r="S143" s="3" t="str">
        <f>MID(D142,1,3)</f>
        <v>0</v>
      </c>
      <c r="T143" s="3" t="str">
        <f>MID(D142,4,3)</f>
        <v/>
      </c>
      <c r="U143" s="3" t="str">
        <f>MID(E142,7,3)</f>
        <v/>
      </c>
    </row>
    <row r="144" spans="2:26" s="35" customFormat="1" hidden="1" x14ac:dyDescent="0.25">
      <c r="B144" s="272" t="str">
        <f>("Cambio porcentual con relación al "&amp;$D$117&amp;".")</f>
        <v>Cambio porcentual con relación al 2024.</v>
      </c>
      <c r="C144" s="273"/>
      <c r="D144" s="65" t="e">
        <f>IF(E144&gt;=0,"Aumento","Disminución")</f>
        <v>#DIV/0!</v>
      </c>
      <c r="E144" s="46" t="e">
        <f>+E142/D142</f>
        <v>#DIV/0!</v>
      </c>
      <c r="J144" s="39"/>
      <c r="K144" s="39"/>
      <c r="N144" s="39"/>
      <c r="R144" s="40"/>
      <c r="S144" s="40"/>
      <c r="T144" s="40"/>
      <c r="U144" s="40"/>
      <c r="V144" s="40"/>
      <c r="W144" s="40"/>
      <c r="X144" s="40"/>
      <c r="Y144" s="40"/>
      <c r="Z144" s="39"/>
    </row>
    <row r="145" spans="1:26" s="35" customFormat="1" x14ac:dyDescent="0.25">
      <c r="B145" s="50"/>
      <c r="C145" s="50"/>
      <c r="D145" s="48"/>
      <c r="E145" s="51"/>
      <c r="J145" s="39"/>
      <c r="K145" s="39"/>
      <c r="N145" s="39"/>
      <c r="R145" s="40"/>
      <c r="S145" s="40"/>
      <c r="T145" s="40"/>
      <c r="U145" s="40"/>
      <c r="V145" s="40"/>
      <c r="W145" s="40"/>
      <c r="X145" s="40"/>
      <c r="Y145" s="40"/>
      <c r="Z145" s="39"/>
    </row>
    <row r="146" spans="1:26" x14ac:dyDescent="0.25">
      <c r="B146" s="52" t="s">
        <v>110</v>
      </c>
    </row>
    <row r="147" spans="1:26" ht="18.75" customHeight="1" x14ac:dyDescent="0.25">
      <c r="B147" s="290" t="s">
        <v>111</v>
      </c>
      <c r="C147" s="290"/>
      <c r="D147" s="290"/>
      <c r="E147" s="290"/>
    </row>
    <row r="148" spans="1:26" ht="36" customHeight="1" x14ac:dyDescent="0.25">
      <c r="B148" s="276" t="str">
        <f>("Un detalle de las "&amp;B147&amp;" al "&amp;[1]BALANZA!$B$3&amp;""&amp;[1]BALANZA!$C$3&amp;" es como se detalla a continuación:")</f>
        <v>Un detalle de las Cuentas por cobrar a corto plazo al 30 de junio del 2025- 2024 es como se detalla a continuación:</v>
      </c>
      <c r="C148" s="277"/>
      <c r="D148" s="277"/>
      <c r="E148" s="277"/>
      <c r="L148" s="1" t="s">
        <v>112</v>
      </c>
    </row>
    <row r="149" spans="1:26" ht="51" customHeight="1" x14ac:dyDescent="0.25">
      <c r="A149" s="66"/>
      <c r="B149" s="288" t="str">
        <f>("Las Cuentas por cobrar  están representados por las partidas  Cuentas por cobrar Empleados, Para el "&amp;C150&amp;" el monto total de estas partidas fue por RD$ "&amp;R153&amp;" y para el "&amp;D150&amp;" el monto era RD$ "&amp;R154&amp;"  ,   de Según el siguiente detalle:")</f>
        <v>Las Cuentas por cobrar  están representados por las partidas  Cuentas por cobrar Empleados, Para el 2025 el monto total de estas partidas fue por RD$ 0, y para el 2024 el monto era RD$ 1,350.12  ,   de Según el siguiente detalle:</v>
      </c>
      <c r="C149" s="288"/>
      <c r="D149" s="288"/>
      <c r="E149" s="288"/>
    </row>
    <row r="150" spans="1:26" x14ac:dyDescent="0.25">
      <c r="B150" s="23" t="s">
        <v>94</v>
      </c>
      <c r="C150" s="23">
        <f>+C359</f>
        <v>2025</v>
      </c>
      <c r="D150" s="23">
        <f>+D359</f>
        <v>2024</v>
      </c>
      <c r="E150" s="23" t="s">
        <v>95</v>
      </c>
    </row>
    <row r="151" spans="1:26" ht="17.25" customHeight="1" x14ac:dyDescent="0.25">
      <c r="B151" s="31" t="s">
        <v>113</v>
      </c>
      <c r="C151" s="67">
        <f>+'[1]BALANZA G'!C34-C152</f>
        <v>0</v>
      </c>
      <c r="D151" s="68">
        <v>0</v>
      </c>
      <c r="E151" s="69">
        <f>+C151-D151</f>
        <v>0</v>
      </c>
    </row>
    <row r="152" spans="1:26" x14ac:dyDescent="0.25">
      <c r="B152" s="31" t="s">
        <v>114</v>
      </c>
      <c r="C152" s="70">
        <f>+'[1]BALANZA G'!C34</f>
        <v>0</v>
      </c>
      <c r="D152" s="29">
        <f>+'[1]BALANZA G'!D35</f>
        <v>1350.12</v>
      </c>
      <c r="E152" s="69">
        <f>+C152-D152</f>
        <v>-1350.12</v>
      </c>
    </row>
    <row r="153" spans="1:26" x14ac:dyDescent="0.25">
      <c r="B153" s="71" t="s">
        <v>115</v>
      </c>
      <c r="C153" s="37">
        <f>SUM(C151:C152)</f>
        <v>0</v>
      </c>
      <c r="D153" s="37">
        <f>SUM(D151:D152)</f>
        <v>1350.12</v>
      </c>
      <c r="E153" s="37">
        <f>SUM(E151:E152)</f>
        <v>-1350.12</v>
      </c>
      <c r="R153" s="3" t="str">
        <f>+CONCATENATE(S153,",",T153,U153,"")</f>
        <v>0,</v>
      </c>
      <c r="S153" s="3" t="str">
        <f>MID(C153,1,1)</f>
        <v>0</v>
      </c>
      <c r="T153" s="3" t="str">
        <f>MID(C153,2,3)</f>
        <v/>
      </c>
      <c r="U153" s="3" t="str">
        <f>MID(C153,5,3)</f>
        <v/>
      </c>
      <c r="V153" s="3" t="str">
        <f>MID(C153,9,3)</f>
        <v/>
      </c>
    </row>
    <row r="154" spans="1:26" x14ac:dyDescent="0.25">
      <c r="B154" s="72"/>
      <c r="C154" s="73"/>
      <c r="D154" s="74"/>
      <c r="E154" s="75"/>
      <c r="R154" s="3" t="str">
        <f>+CONCATENATE(S154,",",T154,U154,V154,"2")</f>
        <v>1,350.12</v>
      </c>
      <c r="S154" s="3" t="str">
        <f>MID(D153,1,1)</f>
        <v>1</v>
      </c>
      <c r="T154" s="3" t="str">
        <f>MID(D153,2,3)</f>
        <v>350</v>
      </c>
      <c r="U154" s="3" t="str">
        <f>MID(D153,5,2)</f>
        <v>.1</v>
      </c>
    </row>
    <row r="155" spans="1:26" s="35" customFormat="1" x14ac:dyDescent="0.25">
      <c r="B155" s="272" t="str">
        <f>("Cambio porcentual con relación al "&amp;$D$117&amp;".")</f>
        <v>Cambio porcentual con relación al 2024.</v>
      </c>
      <c r="C155" s="273"/>
      <c r="D155" s="45" t="str">
        <f>IF(E155&gt;=0,"Aumento","Disminución")</f>
        <v>Disminución</v>
      </c>
      <c r="E155" s="76">
        <f>IFERROR(+E153/D153,0)</f>
        <v>-1</v>
      </c>
      <c r="J155" s="39"/>
      <c r="K155" s="39"/>
      <c r="N155" s="39"/>
      <c r="R155" s="40"/>
      <c r="S155" s="40"/>
      <c r="T155" s="40"/>
      <c r="U155" s="40"/>
      <c r="V155" s="40"/>
      <c r="W155" s="40"/>
      <c r="X155" s="40"/>
      <c r="Y155" s="40"/>
      <c r="Z155" s="39"/>
    </row>
    <row r="156" spans="1:26" ht="9" customHeight="1" x14ac:dyDescent="0.25">
      <c r="B156" s="77"/>
    </row>
    <row r="157" spans="1:26" ht="80.25" customHeight="1" x14ac:dyDescent="0.25">
      <c r="B157" s="289" t="s">
        <v>116</v>
      </c>
      <c r="C157" s="289"/>
      <c r="D157" s="289"/>
      <c r="E157" s="289"/>
    </row>
    <row r="158" spans="1:26" x14ac:dyDescent="0.25">
      <c r="B158" s="77"/>
    </row>
    <row r="159" spans="1:26" x14ac:dyDescent="0.25">
      <c r="B159" s="290" t="s">
        <v>117</v>
      </c>
      <c r="C159" s="290"/>
      <c r="D159" s="290"/>
      <c r="E159" s="290"/>
    </row>
    <row r="160" spans="1:26" x14ac:dyDescent="0.25">
      <c r="B160" s="290" t="s">
        <v>118</v>
      </c>
      <c r="C160" s="290"/>
      <c r="D160" s="290"/>
      <c r="E160" s="290"/>
    </row>
    <row r="161" spans="2:26" ht="18.75" customHeight="1" x14ac:dyDescent="0.25">
      <c r="B161" s="276" t="str">
        <f>("Un detalle de las "&amp;B160&amp;" al "&amp;[1]BALANZA!$B$3&amp;""&amp;[1]BALANZA!$C$3&amp;" es como se detalla a continuación:")</f>
        <v>Un detalle de las Inventario al 30 de junio del 2025- 2024 es como se detalla a continuación:</v>
      </c>
      <c r="C161" s="277"/>
      <c r="D161" s="277"/>
      <c r="E161" s="277"/>
    </row>
    <row r="162" spans="2:26" ht="36" customHeight="1" x14ac:dyDescent="0.25">
      <c r="B162" s="271" t="str">
        <f>("Los  inventarios están representados por las partidas de materiales en existencia, Para el "&amp;[1]BALANZA!B4&amp;" RD$ "&amp;R167&amp;" y para el "&amp;[1]BALANZA!C4&amp;" RD$ "&amp;R168&amp;", Según el siguiente detalle:")</f>
        <v>Los  inventarios están representados por las partidas de materiales en existencia, Para el 2025 RD$ 14,003,912.51 y para el 2024 RD$ 18,231,182.8, Según el siguiente detalle:</v>
      </c>
      <c r="C162" s="271"/>
      <c r="D162" s="271"/>
      <c r="E162" s="271"/>
    </row>
    <row r="163" spans="2:26" ht="7.5" customHeight="1" x14ac:dyDescent="0.25">
      <c r="B163" s="77"/>
    </row>
    <row r="164" spans="2:26" x14ac:dyDescent="0.25">
      <c r="B164" s="23" t="s">
        <v>94</v>
      </c>
      <c r="C164" s="23">
        <f>+C359</f>
        <v>2025</v>
      </c>
      <c r="D164" s="23">
        <f>+D359</f>
        <v>2024</v>
      </c>
      <c r="E164" s="23" t="s">
        <v>95</v>
      </c>
    </row>
    <row r="165" spans="2:26" hidden="1" x14ac:dyDescent="0.25">
      <c r="B165" s="31" t="s">
        <v>107</v>
      </c>
      <c r="C165" s="70">
        <f>+'[1]BALANZA G'!C40</f>
        <v>0</v>
      </c>
      <c r="D165" s="29">
        <f>+'[1]BALANZA G'!D40</f>
        <v>0</v>
      </c>
      <c r="E165" s="78">
        <f>+C165-D165</f>
        <v>0</v>
      </c>
    </row>
    <row r="166" spans="2:26" ht="30" x14ac:dyDescent="0.25">
      <c r="B166" s="31" t="s">
        <v>119</v>
      </c>
      <c r="C166" s="70">
        <f>+'[1]BALANZA G'!C41</f>
        <v>14003912.51</v>
      </c>
      <c r="D166" s="79">
        <v>18231182.800000001</v>
      </c>
      <c r="E166" s="80">
        <f>+C166-D166</f>
        <v>-4227270.290000001</v>
      </c>
    </row>
    <row r="167" spans="2:26" x14ac:dyDescent="0.25">
      <c r="B167" s="71" t="s">
        <v>120</v>
      </c>
      <c r="C167" s="37">
        <f>SUM(C165:C166)</f>
        <v>14003912.51</v>
      </c>
      <c r="D167" s="81">
        <f>SUM(D165:D166)</f>
        <v>18231182.800000001</v>
      </c>
      <c r="E167" s="37">
        <f>SUM(E165:E166)</f>
        <v>-4227270.290000001</v>
      </c>
      <c r="R167" s="3" t="str">
        <f>+CONCATENATE(S167,",",T167,",",U167,V167,AB167,"")</f>
        <v>14,003,912.51</v>
      </c>
      <c r="S167" s="3" t="str">
        <f>MID(C167,1,2)</f>
        <v>14</v>
      </c>
      <c r="T167" s="3" t="str">
        <f>MID(C167,3,3)</f>
        <v>003</v>
      </c>
      <c r="U167" s="3" t="str">
        <f>MID(C167,6,3)</f>
        <v>912</v>
      </c>
      <c r="V167" s="3" t="str">
        <f>MID(C167,9,3)</f>
        <v>.51</v>
      </c>
    </row>
    <row r="168" spans="2:26" x14ac:dyDescent="0.25">
      <c r="B168" s="72"/>
      <c r="C168" s="82">
        <f>+C167-'[1]ES F '!B15</f>
        <v>0</v>
      </c>
      <c r="D168" s="74"/>
      <c r="E168" s="75"/>
      <c r="R168" s="3" t="str">
        <f>+CONCATENATE(S168,",",T168,",",U168,V168,"")</f>
        <v>18,231,182.8</v>
      </c>
      <c r="S168" s="3" t="str">
        <f>MID(D167,1,2)</f>
        <v>18</v>
      </c>
      <c r="T168" s="3" t="str">
        <f>MID(D167,3,3)</f>
        <v>231</v>
      </c>
      <c r="U168" s="3" t="str">
        <f>MID(D167,6,3)</f>
        <v>182</v>
      </c>
      <c r="V168" s="3" t="str">
        <f>MID(D167,9,3)</f>
        <v>.8</v>
      </c>
    </row>
    <row r="169" spans="2:26" s="35" customFormat="1" x14ac:dyDescent="0.25">
      <c r="B169" s="272" t="str">
        <f>("Cambio porcentual con relación al "&amp;$D$117&amp;".")</f>
        <v>Cambio porcentual con relación al 2024.</v>
      </c>
      <c r="C169" s="273"/>
      <c r="D169" s="45" t="str">
        <f>IF(E169&gt;=0,"Aumento","Disminución")</f>
        <v>Disminución</v>
      </c>
      <c r="E169" s="76">
        <f>IFERROR((+E167/D167),0)</f>
        <v>-0.23187032549528278</v>
      </c>
      <c r="J169" s="39"/>
      <c r="K169" s="39"/>
      <c r="N169" s="39"/>
      <c r="R169" s="40"/>
      <c r="S169" s="40"/>
      <c r="T169" s="40"/>
      <c r="U169" s="40"/>
      <c r="V169" s="40"/>
      <c r="W169" s="40"/>
      <c r="X169" s="40"/>
      <c r="Y169" s="40"/>
      <c r="Z169" s="39"/>
    </row>
    <row r="170" spans="2:26" x14ac:dyDescent="0.25">
      <c r="B170" s="77"/>
    </row>
    <row r="171" spans="2:26" ht="6" customHeight="1" x14ac:dyDescent="0.25">
      <c r="B171" s="271"/>
      <c r="C171" s="271"/>
      <c r="D171" s="271"/>
      <c r="E171" s="271"/>
    </row>
    <row r="172" spans="2:26" ht="16.5" customHeight="1" x14ac:dyDescent="0.25">
      <c r="B172" s="12"/>
      <c r="C172" s="12"/>
      <c r="D172" s="12"/>
      <c r="E172" s="12"/>
    </row>
    <row r="173" spans="2:26" ht="16.5" customHeight="1" x14ac:dyDescent="0.25">
      <c r="B173" s="12"/>
      <c r="C173" s="12"/>
      <c r="D173" s="12"/>
      <c r="E173" s="12"/>
    </row>
    <row r="174" spans="2:26" ht="16.5" customHeight="1" x14ac:dyDescent="0.25">
      <c r="B174" s="12"/>
      <c r="C174" s="12"/>
      <c r="D174" s="12"/>
      <c r="E174" s="12"/>
    </row>
    <row r="175" spans="2:26" ht="16.5" customHeight="1" x14ac:dyDescent="0.25">
      <c r="B175" s="52" t="s">
        <v>121</v>
      </c>
      <c r="C175" s="12"/>
      <c r="D175" s="83"/>
      <c r="E175" s="12"/>
    </row>
    <row r="176" spans="2:26" ht="16.5" customHeight="1" x14ac:dyDescent="0.25">
      <c r="B176" s="52" t="s">
        <v>122</v>
      </c>
      <c r="C176" s="12"/>
      <c r="D176" s="83"/>
      <c r="E176" s="12"/>
    </row>
    <row r="177" spans="2:26" ht="27.75" customHeight="1" x14ac:dyDescent="0.25">
      <c r="B177" s="276" t="str">
        <f>("Un detalle del "&amp;B176&amp;" al "&amp;[1]BALANZA!$B$3&amp;" "&amp;[1]BALANZA!$C$3&amp;" es como se detalla a continuación:")</f>
        <v>Un detalle del Pagos anticipados al 30 de junio del 2025 - 2024 es como se detalla a continuación:</v>
      </c>
      <c r="C177" s="277"/>
      <c r="D177" s="277"/>
      <c r="E177" s="277"/>
    </row>
    <row r="178" spans="2:26" ht="41.25" customHeight="1" x14ac:dyDescent="0.25">
      <c r="B178" s="271" t="str">
        <f>("Los  pagos anticipados están representados por las partidas de seguros pagados por adelantado, Para el "&amp;[1]BALANZA!B4&amp;" el monto ascendio  a RD$ "&amp;R186&amp;" y para el "&amp;[1]BALANZA!C4&amp;" el monto era RD$ "&amp;R187&amp;", Según el siguiente detalle:")</f>
        <v>Los  pagos anticipados están representados por las partidas de seguros pagados por adelantado, Para el 2025 el monto ascendio  a RD$ 167,243.2 y para el 2024 el monto era RD$ 149,285.06, Según el siguiente detalle:</v>
      </c>
      <c r="C178" s="271"/>
      <c r="D178" s="271"/>
      <c r="E178" s="271"/>
    </row>
    <row r="179" spans="2:26" x14ac:dyDescent="0.25">
      <c r="B179" s="77"/>
    </row>
    <row r="180" spans="2:26" x14ac:dyDescent="0.25">
      <c r="B180" s="23" t="s">
        <v>94</v>
      </c>
      <c r="C180" s="26">
        <f>+C164</f>
        <v>2025</v>
      </c>
      <c r="D180" s="26">
        <f>+D164</f>
        <v>2024</v>
      </c>
      <c r="E180" s="23" t="s">
        <v>95</v>
      </c>
    </row>
    <row r="181" spans="2:26" ht="15" customHeight="1" x14ac:dyDescent="0.25">
      <c r="B181" s="31" t="s">
        <v>123</v>
      </c>
      <c r="C181" s="84">
        <f>+D185</f>
        <v>149285.06</v>
      </c>
      <c r="D181" s="29">
        <v>106467.47</v>
      </c>
      <c r="E181" s="69">
        <f>+C181-D181</f>
        <v>42817.59</v>
      </c>
    </row>
    <row r="182" spans="2:26" ht="15" customHeight="1" x14ac:dyDescent="0.25">
      <c r="B182" s="31" t="s">
        <v>124</v>
      </c>
      <c r="C182" s="85">
        <f>+C185-C181-C183</f>
        <v>344544.26</v>
      </c>
      <c r="D182" s="29">
        <v>493281.76999999996</v>
      </c>
      <c r="E182" s="69">
        <f>+C182-D182</f>
        <v>-148737.50999999995</v>
      </c>
    </row>
    <row r="183" spans="2:26" ht="15" customHeight="1" x14ac:dyDescent="0.25">
      <c r="B183" s="31" t="s">
        <v>125</v>
      </c>
      <c r="C183" s="86">
        <f>-'[1]Notas NF'!C597</f>
        <v>-326586.12</v>
      </c>
      <c r="D183" s="86">
        <v>-314024.15999999997</v>
      </c>
      <c r="E183" s="69">
        <f>+C183-D183</f>
        <v>-12561.960000000021</v>
      </c>
      <c r="U183" s="87"/>
    </row>
    <row r="184" spans="2:26" ht="15" customHeight="1" x14ac:dyDescent="0.25">
      <c r="B184" s="31"/>
      <c r="C184" s="70"/>
      <c r="D184" s="70"/>
      <c r="E184" s="69"/>
    </row>
    <row r="185" spans="2:26" x14ac:dyDescent="0.25">
      <c r="B185" s="31" t="s">
        <v>126</v>
      </c>
      <c r="C185" s="70">
        <f>+'[1]BALANZA G'!C48</f>
        <v>167243.20000000001</v>
      </c>
      <c r="D185" s="79">
        <v>149285.06</v>
      </c>
      <c r="E185" s="69">
        <f>+C185-D185</f>
        <v>17958.140000000014</v>
      </c>
    </row>
    <row r="186" spans="2:26" x14ac:dyDescent="0.25">
      <c r="B186" s="71" t="s">
        <v>127</v>
      </c>
      <c r="C186" s="37">
        <f>SUM(C185:C185)</f>
        <v>167243.20000000001</v>
      </c>
      <c r="D186" s="37">
        <f>SUM(D185:D185)</f>
        <v>149285.06</v>
      </c>
      <c r="E186" s="88">
        <f>+C186-D186</f>
        <v>17958.140000000014</v>
      </c>
      <c r="R186" s="3" t="str">
        <f>+CONCATENATE(S186,",",T186,U186,"")</f>
        <v>167,243.2</v>
      </c>
      <c r="S186" s="3" t="str">
        <f>MID(C186,1,3)</f>
        <v>167</v>
      </c>
      <c r="T186" s="3" t="str">
        <f>MID(C186,4,3)</f>
        <v>243</v>
      </c>
      <c r="U186" s="3" t="str">
        <f>MID(C186,7,3)</f>
        <v>.2</v>
      </c>
    </row>
    <row r="187" spans="2:26" x14ac:dyDescent="0.25">
      <c r="B187" s="89"/>
      <c r="C187" s="90">
        <f>+C186-'[1]ES F '!B16</f>
        <v>0</v>
      </c>
      <c r="D187" s="91"/>
      <c r="E187" s="92"/>
      <c r="R187" s="3" t="str">
        <f>+CONCATENATE(S187,",",T187,U187)</f>
        <v>149,285.06</v>
      </c>
      <c r="S187" s="3" t="str">
        <f>MID(D186,1,3)</f>
        <v>149</v>
      </c>
      <c r="T187" s="3" t="str">
        <f>MID(D186,4,3)</f>
        <v>285</v>
      </c>
      <c r="U187" s="3" t="str">
        <f>MID(D186,7,3)</f>
        <v>.06</v>
      </c>
    </row>
    <row r="188" spans="2:26" s="35" customFormat="1" x14ac:dyDescent="0.25">
      <c r="B188" s="272" t="str">
        <f>("Cambio porcentual con relación al "&amp;$D$117&amp;".")</f>
        <v>Cambio porcentual con relación al 2024.</v>
      </c>
      <c r="C188" s="273"/>
      <c r="D188" s="45" t="str">
        <f>IF(E188&gt;=0,"Aumento","Disminución")</f>
        <v>Aumento</v>
      </c>
      <c r="E188" s="76">
        <f>IFERROR((+E186/D186),0)</f>
        <v>0.12029428798836277</v>
      </c>
      <c r="J188" s="39"/>
      <c r="K188" s="39"/>
      <c r="N188" s="39"/>
      <c r="R188" s="40"/>
      <c r="S188" s="40"/>
      <c r="T188" s="40"/>
      <c r="U188" s="40"/>
      <c r="V188" s="40"/>
      <c r="W188" s="40"/>
      <c r="X188" s="40"/>
      <c r="Y188" s="40"/>
      <c r="Z188" s="39"/>
    </row>
    <row r="189" spans="2:26" ht="16.5" customHeight="1" x14ac:dyDescent="0.25">
      <c r="B189" s="52"/>
      <c r="C189" s="12"/>
      <c r="D189" s="83"/>
      <c r="E189" s="12"/>
    </row>
    <row r="190" spans="2:26" ht="16.5" customHeight="1" x14ac:dyDescent="0.25">
      <c r="B190" s="52"/>
      <c r="C190" s="93"/>
      <c r="D190" s="83"/>
      <c r="E190" s="12"/>
    </row>
    <row r="191" spans="2:26" ht="14.25" customHeight="1" x14ac:dyDescent="0.25">
      <c r="B191" s="52" t="s">
        <v>128</v>
      </c>
      <c r="C191" s="93"/>
      <c r="D191" s="83"/>
      <c r="E191" s="12"/>
    </row>
    <row r="192" spans="2:26" x14ac:dyDescent="0.25">
      <c r="B192" s="52" t="s">
        <v>129</v>
      </c>
    </row>
    <row r="193" spans="2:26" ht="28.5" customHeight="1" x14ac:dyDescent="0.25">
      <c r="B193" s="276" t="str">
        <f>("Un detalle de "&amp;B192&amp;" al "&amp;[1]BALANZA!$B$3&amp;" "&amp;[1]BALANZA!$C$3&amp;" es como se detalla a continuación:")</f>
        <v>Un detalle de Otros activos corrientes al 30 de junio del 2025 - 2024 es como se detalla a continuación:</v>
      </c>
      <c r="C193" s="277"/>
      <c r="D193" s="277"/>
      <c r="E193" s="277"/>
    </row>
    <row r="194" spans="2:26" ht="49.5" customHeight="1" x14ac:dyDescent="0.25">
      <c r="B194" s="271" t="str">
        <f>("Los depósitos o fianzas por los alquileres de locales de CORAAMOCA, vigentes, están registrado en el Estado de Balance General, dentro  de la partida de otros activos, en  periodos "&amp;[1]BALANZA!B4&amp;" el valor estaba en RD$ "&amp;R212&amp;".  Según detalles:")</f>
        <v>Los depósitos o fianzas por los alquileres de locales de CORAAMOCA, vigentes, están registrado en el Estado de Balance General, dentro  de la partida de otros activos, en  periodos 2025 el valor estaba en RD$ 0,.00.  Según detalles:</v>
      </c>
      <c r="C194" s="271"/>
      <c r="D194" s="271"/>
      <c r="E194" s="271"/>
    </row>
    <row r="195" spans="2:26" ht="37.5" customHeight="1" x14ac:dyDescent="0.25">
      <c r="B195" s="271" t="s">
        <v>130</v>
      </c>
      <c r="C195" s="271"/>
      <c r="D195" s="271"/>
      <c r="E195" s="271"/>
    </row>
    <row r="196" spans="2:26" ht="14.25" customHeight="1" x14ac:dyDescent="0.25">
      <c r="B196" s="94"/>
    </row>
    <row r="197" spans="2:26" s="95" customFormat="1" ht="19.5" hidden="1" customHeight="1" x14ac:dyDescent="0.25">
      <c r="B197" s="23" t="s">
        <v>131</v>
      </c>
      <c r="C197" s="23" t="s">
        <v>132</v>
      </c>
      <c r="D197" s="96" t="s">
        <v>133</v>
      </c>
      <c r="E197" s="24" t="s">
        <v>134</v>
      </c>
      <c r="J197" s="97"/>
      <c r="K197" s="97"/>
      <c r="N197" s="97"/>
      <c r="R197" s="98"/>
      <c r="S197" s="98"/>
      <c r="T197" s="98"/>
      <c r="U197" s="98"/>
      <c r="V197" s="98"/>
      <c r="W197" s="98"/>
      <c r="X197" s="98"/>
      <c r="Y197" s="98"/>
      <c r="Z197" s="97"/>
    </row>
    <row r="198" spans="2:26" hidden="1" x14ac:dyDescent="0.25">
      <c r="B198" s="99" t="s">
        <v>135</v>
      </c>
      <c r="C198" s="100" t="s">
        <v>136</v>
      </c>
      <c r="D198" s="101">
        <v>12000</v>
      </c>
      <c r="E198" s="102">
        <f>+D198</f>
        <v>12000</v>
      </c>
    </row>
    <row r="199" spans="2:26" hidden="1" x14ac:dyDescent="0.25">
      <c r="B199" s="99" t="s">
        <v>137</v>
      </c>
      <c r="C199" s="100" t="s">
        <v>138</v>
      </c>
      <c r="D199" s="101">
        <v>21000</v>
      </c>
      <c r="E199" s="102">
        <f t="shared" ref="E199:E206" si="1">+D199</f>
        <v>21000</v>
      </c>
    </row>
    <row r="200" spans="2:26" hidden="1" x14ac:dyDescent="0.25">
      <c r="B200" s="99" t="s">
        <v>139</v>
      </c>
      <c r="C200" s="100" t="s">
        <v>140</v>
      </c>
      <c r="D200" s="101">
        <v>28500</v>
      </c>
      <c r="E200" s="102">
        <f t="shared" si="1"/>
        <v>28500</v>
      </c>
    </row>
    <row r="201" spans="2:26" hidden="1" x14ac:dyDescent="0.25">
      <c r="B201" s="99" t="s">
        <v>141</v>
      </c>
      <c r="C201" s="100" t="s">
        <v>142</v>
      </c>
      <c r="D201" s="101">
        <v>33336</v>
      </c>
      <c r="E201" s="102">
        <f t="shared" si="1"/>
        <v>33336</v>
      </c>
    </row>
    <row r="202" spans="2:26" hidden="1" x14ac:dyDescent="0.25">
      <c r="B202" s="103" t="s">
        <v>143</v>
      </c>
      <c r="C202" s="104" t="s">
        <v>144</v>
      </c>
      <c r="D202" s="105">
        <v>20000</v>
      </c>
      <c r="E202" s="102">
        <f t="shared" si="1"/>
        <v>20000</v>
      </c>
    </row>
    <row r="203" spans="2:26" hidden="1" x14ac:dyDescent="0.25">
      <c r="B203" s="103" t="s">
        <v>145</v>
      </c>
      <c r="C203" s="104" t="s">
        <v>146</v>
      </c>
      <c r="D203" s="105">
        <v>18000</v>
      </c>
      <c r="E203" s="102">
        <f t="shared" si="1"/>
        <v>18000</v>
      </c>
    </row>
    <row r="204" spans="2:26" hidden="1" x14ac:dyDescent="0.25">
      <c r="B204" s="103" t="s">
        <v>147</v>
      </c>
      <c r="C204" s="104" t="s">
        <v>148</v>
      </c>
      <c r="D204" s="105">
        <v>33336</v>
      </c>
      <c r="E204" s="102">
        <f t="shared" si="1"/>
        <v>33336</v>
      </c>
    </row>
    <row r="205" spans="2:26" hidden="1" x14ac:dyDescent="0.25">
      <c r="B205" s="103" t="s">
        <v>149</v>
      </c>
      <c r="C205" s="104" t="s">
        <v>150</v>
      </c>
      <c r="D205" s="105">
        <v>27000</v>
      </c>
      <c r="E205" s="102">
        <v>27000</v>
      </c>
    </row>
    <row r="206" spans="2:26" hidden="1" x14ac:dyDescent="0.25">
      <c r="B206" s="103"/>
      <c r="C206" s="104"/>
      <c r="D206" s="105"/>
      <c r="E206" s="102">
        <f t="shared" si="1"/>
        <v>0</v>
      </c>
    </row>
    <row r="207" spans="2:26" hidden="1" x14ac:dyDescent="0.25">
      <c r="B207" s="106" t="s">
        <v>151</v>
      </c>
      <c r="C207" s="106"/>
      <c r="D207" s="107"/>
      <c r="E207" s="108">
        <f>SUM(E198:E206)</f>
        <v>193172</v>
      </c>
    </row>
    <row r="208" spans="2:26" hidden="1" x14ac:dyDescent="0.25">
      <c r="B208" s="109"/>
      <c r="C208" s="109"/>
      <c r="D208" s="110"/>
      <c r="E208" s="73">
        <f>+E207-'[1]ES F '!B17</f>
        <v>193172</v>
      </c>
    </row>
    <row r="209" spans="2:26" ht="26.25" customHeight="1" x14ac:dyDescent="0.25">
      <c r="B209" s="23" t="s">
        <v>94</v>
      </c>
      <c r="C209" s="23">
        <f>+C150</f>
        <v>2025</v>
      </c>
      <c r="D209" s="23">
        <f>+D150</f>
        <v>2024</v>
      </c>
      <c r="E209" s="23" t="s">
        <v>95</v>
      </c>
    </row>
    <row r="210" spans="2:26" ht="15.75" hidden="1" customHeight="1" x14ac:dyDescent="0.25">
      <c r="B210" s="31" t="s">
        <v>107</v>
      </c>
      <c r="C210" s="70">
        <v>0</v>
      </c>
      <c r="D210" s="29">
        <v>0</v>
      </c>
      <c r="E210" s="78">
        <f>+C210-D210</f>
        <v>0</v>
      </c>
    </row>
    <row r="211" spans="2:26" x14ac:dyDescent="0.25">
      <c r="B211" s="31" t="s">
        <v>152</v>
      </c>
      <c r="C211" s="79">
        <f>+'[1]BALANZA G'!C46</f>
        <v>0</v>
      </c>
      <c r="D211" s="79">
        <f>+E207+10500-18000+13500-6000</f>
        <v>193172</v>
      </c>
      <c r="E211" s="2">
        <f>+C211-D211</f>
        <v>-193172</v>
      </c>
    </row>
    <row r="212" spans="2:26" s="111" customFormat="1" x14ac:dyDescent="0.25">
      <c r="B212" s="60" t="s">
        <v>153</v>
      </c>
      <c r="C212" s="61">
        <f>SUM(C210:C211)</f>
        <v>0</v>
      </c>
      <c r="D212" s="61">
        <f>SUM(D210:D211)</f>
        <v>193172</v>
      </c>
      <c r="E212" s="61">
        <f>SUM(E210:E211)</f>
        <v>-193172</v>
      </c>
      <c r="J212" s="112"/>
      <c r="K212" s="112"/>
      <c r="N212" s="112"/>
      <c r="R212" s="3" t="str">
        <f>+CONCATENATE(S212,",",T212,".00")</f>
        <v>0,.00</v>
      </c>
      <c r="S212" s="3" t="str">
        <f>MID(C212,1,3)</f>
        <v>0</v>
      </c>
      <c r="T212" s="3" t="str">
        <f>MID(C212,4,3)</f>
        <v/>
      </c>
      <c r="U212" s="3" t="str">
        <f>MID(C212,7,3)</f>
        <v/>
      </c>
      <c r="V212" s="3" t="str">
        <f>MID(C212,9,3)</f>
        <v/>
      </c>
      <c r="W212" s="113"/>
      <c r="X212" s="113"/>
      <c r="Y212" s="113"/>
      <c r="Z212" s="112"/>
    </row>
    <row r="213" spans="2:26" s="111" customFormat="1" x14ac:dyDescent="0.25">
      <c r="B213" s="114"/>
      <c r="C213" s="115">
        <f>+C212-'[1]ES F '!B17</f>
        <v>0</v>
      </c>
      <c r="D213" s="116">
        <f>+D212-'[1]ES F '!C17</f>
        <v>0</v>
      </c>
      <c r="E213" s="115"/>
      <c r="J213" s="112"/>
      <c r="K213" s="112"/>
      <c r="N213" s="112"/>
      <c r="R213" s="3" t="str">
        <f>+CONCATENATE(S213,",",T213,".00")</f>
        <v>193,172.00</v>
      </c>
      <c r="S213" s="3" t="str">
        <f>MID(D212,1,3)</f>
        <v>193</v>
      </c>
      <c r="T213" s="3" t="str">
        <f>MID(D212,4,3)</f>
        <v>172</v>
      </c>
      <c r="U213" s="3" t="str">
        <f>MID(D212,7,3)</f>
        <v/>
      </c>
      <c r="V213" s="3" t="str">
        <f>MID(D212,8,3)</f>
        <v/>
      </c>
      <c r="W213" s="113"/>
      <c r="X213" s="113"/>
      <c r="Y213" s="113"/>
      <c r="Z213" s="112"/>
    </row>
    <row r="214" spans="2:26" s="117" customFormat="1" x14ac:dyDescent="0.25">
      <c r="B214" s="272" t="str">
        <f>("Cambio porcentual con relación al "&amp;$D$117&amp;".")</f>
        <v>Cambio porcentual con relación al 2024.</v>
      </c>
      <c r="C214" s="273"/>
      <c r="D214" s="118" t="str">
        <f>IF(E214&gt;=0,"Aumento","Disminución")</f>
        <v>Disminución</v>
      </c>
      <c r="E214" s="119">
        <f>IFERROR((+E212/D212),0)</f>
        <v>-1</v>
      </c>
      <c r="J214" s="120"/>
      <c r="K214" s="120"/>
      <c r="N214" s="120"/>
      <c r="R214" s="121"/>
      <c r="S214" s="121"/>
      <c r="T214" s="121"/>
      <c r="U214" s="121"/>
      <c r="V214" s="121"/>
      <c r="W214" s="121"/>
      <c r="X214" s="121"/>
      <c r="Y214" s="121"/>
      <c r="Z214" s="120"/>
    </row>
    <row r="215" spans="2:26" s="117" customFormat="1" x14ac:dyDescent="0.25">
      <c r="B215" s="122"/>
      <c r="C215" s="122"/>
      <c r="D215" s="123"/>
      <c r="E215" s="124"/>
      <c r="J215" s="120"/>
      <c r="K215" s="120"/>
      <c r="N215" s="120"/>
      <c r="R215" s="121"/>
      <c r="S215" s="121"/>
      <c r="T215" s="121"/>
      <c r="U215" s="121"/>
      <c r="V215" s="121"/>
      <c r="W215" s="121"/>
      <c r="X215" s="121"/>
      <c r="Y215" s="121"/>
      <c r="Z215" s="120"/>
    </row>
    <row r="216" spans="2:26" x14ac:dyDescent="0.25">
      <c r="B216" s="9"/>
    </row>
    <row r="217" spans="2:26" x14ac:dyDescent="0.25">
      <c r="B217" s="9"/>
    </row>
    <row r="218" spans="2:26" x14ac:dyDescent="0.25">
      <c r="B218" s="9"/>
    </row>
    <row r="219" spans="2:26" x14ac:dyDescent="0.25">
      <c r="B219" s="9"/>
    </row>
    <row r="220" spans="2:26" x14ac:dyDescent="0.25">
      <c r="B220" s="9"/>
    </row>
    <row r="221" spans="2:26" x14ac:dyDescent="0.25">
      <c r="B221" s="9"/>
    </row>
    <row r="222" spans="2:26" x14ac:dyDescent="0.25">
      <c r="B222" s="9"/>
    </row>
    <row r="223" spans="2:26" x14ac:dyDescent="0.25">
      <c r="B223" s="9"/>
    </row>
    <row r="224" spans="2:26" x14ac:dyDescent="0.25">
      <c r="B224" s="9"/>
    </row>
    <row r="225" spans="2:5" x14ac:dyDescent="0.25">
      <c r="B225" s="9"/>
    </row>
    <row r="226" spans="2:5" x14ac:dyDescent="0.25">
      <c r="B226" s="9"/>
    </row>
    <row r="227" spans="2:5" x14ac:dyDescent="0.25">
      <c r="B227" s="9"/>
    </row>
    <row r="228" spans="2:5" x14ac:dyDescent="0.25">
      <c r="B228" s="9"/>
    </row>
    <row r="229" spans="2:5" x14ac:dyDescent="0.25">
      <c r="B229" s="9"/>
    </row>
    <row r="230" spans="2:5" x14ac:dyDescent="0.25">
      <c r="B230" s="9"/>
    </row>
    <row r="231" spans="2:5" x14ac:dyDescent="0.25">
      <c r="B231" s="9"/>
    </row>
    <row r="232" spans="2:5" x14ac:dyDescent="0.25">
      <c r="B232" s="9" t="s">
        <v>154</v>
      </c>
    </row>
    <row r="233" spans="2:5" ht="19.5" customHeight="1" x14ac:dyDescent="0.25">
      <c r="B233" s="287" t="s">
        <v>155</v>
      </c>
      <c r="C233" s="287"/>
      <c r="D233" s="287"/>
      <c r="E233" s="287"/>
    </row>
    <row r="234" spans="2:5" ht="19.5" customHeight="1" x14ac:dyDescent="0.25">
      <c r="B234" s="276" t="str">
        <f>("Un detalle de "&amp;B233&amp;" al "&amp;[1]BALANZA!$B$3&amp;" "&amp;[1]BALANZA!$C$3&amp;" es como se detalla a continuación:")</f>
        <v>Un detalle de Propiedad planta y equipo al 30 de junio del 2025 - 2024 es como se detalla a continuación:</v>
      </c>
      <c r="C234" s="277"/>
      <c r="D234" s="277"/>
      <c r="E234" s="277"/>
    </row>
    <row r="235" spans="2:5" ht="19.5" customHeight="1" x14ac:dyDescent="0.25">
      <c r="B235" s="271" t="s">
        <v>156</v>
      </c>
      <c r="C235" s="271"/>
      <c r="D235" s="271"/>
      <c r="E235" s="271"/>
    </row>
    <row r="236" spans="2:5" ht="91.5" customHeight="1" x14ac:dyDescent="0.25">
      <c r="B236" s="286" t="s">
        <v>157</v>
      </c>
      <c r="C236" s="286"/>
      <c r="D236" s="286"/>
      <c r="E236" s="286"/>
    </row>
    <row r="237" spans="2:5" x14ac:dyDescent="0.25">
      <c r="B237" s="10" t="str">
        <f>+B233</f>
        <v>Propiedad planta y equipo</v>
      </c>
      <c r="C237" s="8" t="s">
        <v>158</v>
      </c>
      <c r="D237" s="11"/>
    </row>
    <row r="238" spans="2:5" hidden="1" x14ac:dyDescent="0.25">
      <c r="B238" s="125" t="s">
        <v>159</v>
      </c>
      <c r="C238" s="125">
        <f>+[1]BALANZA!B4</f>
        <v>2025</v>
      </c>
      <c r="D238" s="126">
        <f>+[1]BALANZA!C4</f>
        <v>2024</v>
      </c>
      <c r="E238" s="127" t="s">
        <v>95</v>
      </c>
    </row>
    <row r="239" spans="2:5" hidden="1" x14ac:dyDescent="0.25">
      <c r="B239" s="128" t="s">
        <v>160</v>
      </c>
      <c r="C239" s="129"/>
      <c r="D239" s="130"/>
      <c r="E239" s="131"/>
    </row>
    <row r="240" spans="2:5" ht="20.25" hidden="1" customHeight="1" x14ac:dyDescent="0.25">
      <c r="B240" s="103" t="s">
        <v>161</v>
      </c>
      <c r="C240" s="129"/>
      <c r="D240" s="130"/>
      <c r="E240" s="131"/>
    </row>
    <row r="241" spans="2:7" ht="20.25" hidden="1" customHeight="1" x14ac:dyDescent="0.25">
      <c r="B241" s="52" t="s">
        <v>162</v>
      </c>
      <c r="C241" s="70">
        <f>+D241+D242</f>
        <v>28416592.940000001</v>
      </c>
      <c r="D241" s="132">
        <f>+'[1]BALANZA G'!D74+'[1]BALANZA G'!D59-D242</f>
        <v>25239892.940000001</v>
      </c>
      <c r="E241" s="69">
        <f>+C241-D241</f>
        <v>3176700</v>
      </c>
    </row>
    <row r="242" spans="2:7" ht="20.25" hidden="1" customHeight="1" x14ac:dyDescent="0.25">
      <c r="B242" s="103" t="s">
        <v>163</v>
      </c>
      <c r="C242" s="70">
        <f>+'[1]BALANZA G'!C74-'[1]BALANZA G'!D74+'[1]BALANZA G'!C59+'[1]BALANZA G'!C77-E241</f>
        <v>6667637.4700000007</v>
      </c>
      <c r="D242" s="133">
        <v>3176700</v>
      </c>
      <c r="E242" s="69">
        <f>+C242-D242</f>
        <v>3490937.4700000007</v>
      </c>
    </row>
    <row r="243" spans="2:7" ht="20.25" hidden="1" customHeight="1" x14ac:dyDescent="0.25">
      <c r="B243" s="103" t="s">
        <v>164</v>
      </c>
      <c r="C243" s="70"/>
      <c r="D243" s="132"/>
      <c r="E243" s="69">
        <f>+C243-D243</f>
        <v>0</v>
      </c>
    </row>
    <row r="244" spans="2:7" ht="20.25" hidden="1" customHeight="1" x14ac:dyDescent="0.25">
      <c r="B244" s="103" t="s">
        <v>165</v>
      </c>
      <c r="C244" s="70">
        <f>-[1]nota13!F28</f>
        <v>-26935891.919999998</v>
      </c>
      <c r="D244" s="132"/>
      <c r="E244" s="69"/>
    </row>
    <row r="245" spans="2:7" ht="20.25" hidden="1" customHeight="1" x14ac:dyDescent="0.25">
      <c r="B245" s="103" t="s">
        <v>166</v>
      </c>
      <c r="C245" s="70">
        <f>-[1]nota13!F29</f>
        <v>-1324392.1700000013</v>
      </c>
      <c r="D245" s="132"/>
      <c r="E245" s="69"/>
    </row>
    <row r="246" spans="2:7" hidden="1" x14ac:dyDescent="0.25">
      <c r="B246" s="134" t="s">
        <v>167</v>
      </c>
      <c r="C246" s="135">
        <f>SUM(C241:C245)</f>
        <v>6823946.320000004</v>
      </c>
      <c r="D246" s="136">
        <f>SUM(D239:D243)</f>
        <v>28416592.940000001</v>
      </c>
      <c r="E246" s="135">
        <f>SUM(E239:E243)</f>
        <v>6667637.4700000007</v>
      </c>
    </row>
    <row r="247" spans="2:7" ht="28.5" hidden="1" x14ac:dyDescent="0.25">
      <c r="B247" s="134" t="s">
        <v>168</v>
      </c>
      <c r="C247" s="137">
        <v>0</v>
      </c>
      <c r="D247" s="138">
        <v>0</v>
      </c>
      <c r="E247" s="139">
        <f>+C247-D247</f>
        <v>0</v>
      </c>
    </row>
    <row r="248" spans="2:7" ht="28.5" hidden="1" x14ac:dyDescent="0.25">
      <c r="B248" s="134" t="s">
        <v>169</v>
      </c>
      <c r="C248" s="135">
        <f>+C246-C247</f>
        <v>6823946.320000004</v>
      </c>
      <c r="D248" s="136">
        <f>+D246-D247</f>
        <v>28416592.940000001</v>
      </c>
      <c r="E248" s="135">
        <f>+E246-E247</f>
        <v>6667637.4700000007</v>
      </c>
    </row>
    <row r="249" spans="2:7" ht="23.25" hidden="1" customHeight="1" x14ac:dyDescent="0.25">
      <c r="B249" s="128" t="s">
        <v>170</v>
      </c>
      <c r="C249" s="140"/>
      <c r="D249" s="141"/>
      <c r="E249" s="142"/>
    </row>
    <row r="250" spans="2:7" hidden="1" x14ac:dyDescent="0.25">
      <c r="B250" s="103" t="str">
        <f>+B241</f>
        <v xml:space="preserve">Costos de adquisición  </v>
      </c>
      <c r="C250" s="70">
        <f>+'[1]BALANZA G'!C64</f>
        <v>55553258.920000002</v>
      </c>
      <c r="D250" s="132">
        <f>+'[1]BALANZA G'!D64</f>
        <v>52883325.560000002</v>
      </c>
      <c r="E250" s="69">
        <f>+C250-D250</f>
        <v>2669933.3599999994</v>
      </c>
      <c r="G250" s="1" t="s">
        <v>112</v>
      </c>
    </row>
    <row r="251" spans="2:7" hidden="1" x14ac:dyDescent="0.25">
      <c r="B251" s="103" t="str">
        <f>+B242</f>
        <v>Adiciones</v>
      </c>
      <c r="C251" s="70"/>
      <c r="D251" s="132">
        <f>+'[1]BALANZA G'!F64</f>
        <v>45922302.979999997</v>
      </c>
      <c r="E251" s="69">
        <f>+C251-D251</f>
        <v>-45922302.979999997</v>
      </c>
    </row>
    <row r="252" spans="2:7" hidden="1" x14ac:dyDescent="0.25">
      <c r="B252" s="103" t="str">
        <f>+B243</f>
        <v>Retiros</v>
      </c>
      <c r="C252" s="70"/>
      <c r="D252" s="132"/>
      <c r="E252" s="69">
        <f>+C252-D252</f>
        <v>0</v>
      </c>
    </row>
    <row r="253" spans="2:7" hidden="1" x14ac:dyDescent="0.25">
      <c r="B253" s="103" t="str">
        <f>+B244</f>
        <v>Depreciación Acumulada</v>
      </c>
      <c r="C253" s="70">
        <f>-[1]nota13!I28</f>
        <v>-38206151.979999997</v>
      </c>
      <c r="D253" s="132"/>
      <c r="E253" s="69"/>
    </row>
    <row r="254" spans="2:7" hidden="1" x14ac:dyDescent="0.25">
      <c r="B254" s="103" t="str">
        <f>+B245</f>
        <v>Depreciación del periodo</v>
      </c>
      <c r="C254" s="70">
        <f>-[1]nota13!I29</f>
        <v>-2509051.2700000033</v>
      </c>
      <c r="D254" s="132"/>
      <c r="E254" s="69"/>
    </row>
    <row r="255" spans="2:7" ht="28.5" hidden="1" x14ac:dyDescent="0.25">
      <c r="B255" s="143" t="s">
        <v>171</v>
      </c>
      <c r="C255" s="135">
        <f>SUM(C250:C254)</f>
        <v>14838055.670000002</v>
      </c>
      <c r="D255" s="136">
        <f>SUM(D250:D252)</f>
        <v>98805628.539999992</v>
      </c>
      <c r="E255" s="135">
        <f>SUM(E250:E252)</f>
        <v>-43252369.619999997</v>
      </c>
    </row>
    <row r="256" spans="2:7" ht="28.5" hidden="1" x14ac:dyDescent="0.25">
      <c r="B256" s="134" t="s">
        <v>172</v>
      </c>
      <c r="C256" s="137">
        <v>0</v>
      </c>
      <c r="D256" s="138">
        <v>0</v>
      </c>
      <c r="E256" s="139">
        <f>+C256-D256</f>
        <v>0</v>
      </c>
    </row>
    <row r="257" spans="2:5" ht="42.75" hidden="1" x14ac:dyDescent="0.25">
      <c r="B257" s="134" t="s">
        <v>173</v>
      </c>
      <c r="C257" s="135">
        <f>+C255-C256</f>
        <v>14838055.670000002</v>
      </c>
      <c r="D257" s="136">
        <f>+D255-D256</f>
        <v>98805628.539999992</v>
      </c>
      <c r="E257" s="135">
        <f>+E255-E256</f>
        <v>-43252369.619999997</v>
      </c>
    </row>
    <row r="258" spans="2:5" ht="26.25" hidden="1" customHeight="1" x14ac:dyDescent="0.25">
      <c r="B258" s="144" t="s">
        <v>174</v>
      </c>
      <c r="C258" s="140"/>
      <c r="D258" s="141"/>
      <c r="E258" s="142"/>
    </row>
    <row r="259" spans="2:5" hidden="1" x14ac:dyDescent="0.25">
      <c r="B259" s="103" t="str">
        <f>+B250</f>
        <v xml:space="preserve">Costos de adquisición  </v>
      </c>
      <c r="C259" s="70">
        <f>+'[1]BALANZA G'!C68</f>
        <v>510150</v>
      </c>
      <c r="D259" s="132">
        <f>+'[1]BALANZA G'!D68-D260</f>
        <v>503947</v>
      </c>
      <c r="E259" s="69">
        <f>+C259-D259</f>
        <v>6203</v>
      </c>
    </row>
    <row r="260" spans="2:5" hidden="1" x14ac:dyDescent="0.25">
      <c r="B260" s="103" t="str">
        <f>+B251</f>
        <v>Adiciones</v>
      </c>
      <c r="C260" s="70"/>
      <c r="D260" s="132">
        <f>+'[1]BALANZA G'!F68</f>
        <v>74900</v>
      </c>
      <c r="E260" s="69">
        <f>+C260-D260</f>
        <v>-74900</v>
      </c>
    </row>
    <row r="261" spans="2:5" hidden="1" x14ac:dyDescent="0.25">
      <c r="B261" s="103" t="str">
        <f>+B252</f>
        <v>Retiros</v>
      </c>
      <c r="C261" s="70"/>
      <c r="D261" s="132"/>
      <c r="E261" s="69">
        <f>+C261-D261</f>
        <v>0</v>
      </c>
    </row>
    <row r="262" spans="2:5" hidden="1" x14ac:dyDescent="0.25">
      <c r="B262" s="103" t="str">
        <f>+B253</f>
        <v>Depreciación Acumulada</v>
      </c>
      <c r="C262" s="70"/>
      <c r="D262" s="132"/>
      <c r="E262" s="69"/>
    </row>
    <row r="263" spans="2:5" hidden="1" x14ac:dyDescent="0.25">
      <c r="B263" s="103" t="str">
        <f>+B254</f>
        <v>Depreciación del periodo</v>
      </c>
      <c r="C263" s="70">
        <f>-[1]nota13!G29</f>
        <v>-7695.5400000000081</v>
      </c>
      <c r="D263" s="132"/>
      <c r="E263" s="69"/>
    </row>
    <row r="264" spans="2:5" ht="28.5" hidden="1" x14ac:dyDescent="0.25">
      <c r="B264" s="134" t="s">
        <v>175</v>
      </c>
      <c r="C264" s="135">
        <f>SUM(C259:C263)</f>
        <v>502454.45999999996</v>
      </c>
      <c r="D264" s="136">
        <f>SUM(D259:D263)</f>
        <v>578847</v>
      </c>
      <c r="E264" s="135">
        <f>SUM(E259)</f>
        <v>6203</v>
      </c>
    </row>
    <row r="265" spans="2:5" ht="27" hidden="1" customHeight="1" x14ac:dyDescent="0.25">
      <c r="B265" s="134" t="s">
        <v>176</v>
      </c>
      <c r="C265" s="137">
        <v>0</v>
      </c>
      <c r="D265" s="138">
        <v>0</v>
      </c>
      <c r="E265" s="139">
        <f>+C265-D265</f>
        <v>0</v>
      </c>
    </row>
    <row r="266" spans="2:5" ht="28.5" hidden="1" x14ac:dyDescent="0.25">
      <c r="B266" s="134" t="s">
        <v>177</v>
      </c>
      <c r="C266" s="135">
        <f>+C264-C265</f>
        <v>502454.45999999996</v>
      </c>
      <c r="D266" s="136">
        <f>+D264-D265</f>
        <v>578847</v>
      </c>
      <c r="E266" s="135">
        <f>+E264-E265</f>
        <v>6203</v>
      </c>
    </row>
    <row r="267" spans="2:5" hidden="1" x14ac:dyDescent="0.25">
      <c r="B267" s="128" t="s">
        <v>178</v>
      </c>
      <c r="C267" s="140"/>
      <c r="D267" s="141"/>
      <c r="E267" s="142"/>
    </row>
    <row r="268" spans="2:5" hidden="1" x14ac:dyDescent="0.25">
      <c r="B268" s="103" t="str">
        <f>+B259</f>
        <v xml:space="preserve">Costos de adquisición  </v>
      </c>
      <c r="C268" s="70">
        <f>+'[1]BALANZA G'!C65+'[1]BALANZA G'!C71-C269</f>
        <v>16016968.830000002</v>
      </c>
      <c r="D268" s="132">
        <f>+'[1]BALANZA G'!D65+'[1]BALANZA G'!D71-D269</f>
        <v>10179245.880000003</v>
      </c>
      <c r="E268" s="69">
        <f>+C268-D268</f>
        <v>5837722.9499999993</v>
      </c>
    </row>
    <row r="269" spans="2:5" hidden="1" x14ac:dyDescent="0.25">
      <c r="B269" s="103" t="str">
        <f>+B260</f>
        <v>Adiciones</v>
      </c>
      <c r="C269" s="70">
        <f>+'[1]BALANZA G'!C71-D269+'[1]BALANZA G'!C65-'[1]BALANZA G'!D65</f>
        <v>894118</v>
      </c>
      <c r="D269" s="79">
        <f>+'[1]BALANZA G'!D71</f>
        <v>5837722.9500000002</v>
      </c>
      <c r="E269" s="69">
        <f>+C269-D269</f>
        <v>-4943604.95</v>
      </c>
    </row>
    <row r="270" spans="2:5" hidden="1" x14ac:dyDescent="0.25">
      <c r="B270" s="103" t="str">
        <f>+B261</f>
        <v>Retiros</v>
      </c>
      <c r="C270" s="70"/>
      <c r="D270" s="132"/>
      <c r="E270" s="69">
        <f>+C270-D270</f>
        <v>0</v>
      </c>
    </row>
    <row r="271" spans="2:5" hidden="1" x14ac:dyDescent="0.25">
      <c r="B271" s="103" t="str">
        <f>+B262</f>
        <v>Depreciación Acumulada</v>
      </c>
      <c r="C271" s="70">
        <f>-[1]nota13!H28</f>
        <v>-11856936.66</v>
      </c>
      <c r="D271" s="132"/>
      <c r="E271" s="69"/>
    </row>
    <row r="272" spans="2:5" hidden="1" x14ac:dyDescent="0.25">
      <c r="B272" s="103" t="str">
        <f>+B263</f>
        <v>Depreciación del periodo</v>
      </c>
      <c r="C272" s="70">
        <f>-[1]nota13!H29</f>
        <v>-582985.48000000068</v>
      </c>
      <c r="D272" s="132"/>
      <c r="E272" s="69"/>
    </row>
    <row r="273" spans="2:5" ht="28.5" hidden="1" x14ac:dyDescent="0.25">
      <c r="B273" s="134" t="s">
        <v>179</v>
      </c>
      <c r="C273" s="135">
        <f>SUM(C268:C272)</f>
        <v>4471164.6900000013</v>
      </c>
      <c r="D273" s="136">
        <f>SUM(D268:D270)</f>
        <v>16016968.830000002</v>
      </c>
      <c r="E273" s="135">
        <f>SUM(E268:E270)</f>
        <v>894117.99999999907</v>
      </c>
    </row>
    <row r="274" spans="2:5" ht="28.5" hidden="1" x14ac:dyDescent="0.25">
      <c r="B274" s="134" t="s">
        <v>180</v>
      </c>
      <c r="C274" s="137"/>
      <c r="D274" s="138"/>
      <c r="E274" s="139"/>
    </row>
    <row r="275" spans="2:5" ht="28.5" hidden="1" x14ac:dyDescent="0.25">
      <c r="B275" s="134" t="s">
        <v>181</v>
      </c>
      <c r="C275" s="135">
        <f>+C273-C274</f>
        <v>4471164.6900000013</v>
      </c>
      <c r="D275" s="136">
        <f>+D273-D274</f>
        <v>16016968.830000002</v>
      </c>
      <c r="E275" s="135">
        <f>+E273-E274</f>
        <v>894117.99999999907</v>
      </c>
    </row>
    <row r="276" spans="2:5" hidden="1" x14ac:dyDescent="0.25">
      <c r="B276" s="128" t="s">
        <v>182</v>
      </c>
      <c r="C276" s="145"/>
      <c r="D276" s="132"/>
      <c r="E276" s="69">
        <f>+C276-D276</f>
        <v>0</v>
      </c>
    </row>
    <row r="277" spans="2:5" hidden="1" x14ac:dyDescent="0.25">
      <c r="B277" s="103" t="s">
        <v>183</v>
      </c>
      <c r="C277" s="70"/>
      <c r="D277" s="132"/>
      <c r="E277" s="69">
        <f>+C277-D277</f>
        <v>0</v>
      </c>
    </row>
    <row r="278" spans="2:5" hidden="1" x14ac:dyDescent="0.25">
      <c r="B278" s="146" t="s">
        <v>184</v>
      </c>
      <c r="C278" s="70"/>
      <c r="D278" s="132"/>
      <c r="E278" s="69">
        <f>+C278-D278</f>
        <v>0</v>
      </c>
    </row>
    <row r="279" spans="2:5" ht="28.5" hidden="1" x14ac:dyDescent="0.25">
      <c r="B279" s="134" t="s">
        <v>185</v>
      </c>
      <c r="C279" s="147">
        <f>SUM(C277:C278)</f>
        <v>0</v>
      </c>
      <c r="D279" s="148">
        <f>SUM(D277:D278)</f>
        <v>0</v>
      </c>
      <c r="E279" s="147">
        <f>SUM(E277:E278)</f>
        <v>0</v>
      </c>
    </row>
    <row r="280" spans="2:5" ht="28.5" hidden="1" x14ac:dyDescent="0.25">
      <c r="B280" s="134" t="s">
        <v>186</v>
      </c>
      <c r="C280" s="149">
        <v>0</v>
      </c>
      <c r="D280" s="138">
        <v>0</v>
      </c>
      <c r="E280" s="139">
        <f>+C280-D280</f>
        <v>0</v>
      </c>
    </row>
    <row r="281" spans="2:5" ht="28.5" hidden="1" x14ac:dyDescent="0.25">
      <c r="B281" s="134" t="s">
        <v>187</v>
      </c>
      <c r="C281" s="147">
        <f>+C279-C280</f>
        <v>0</v>
      </c>
      <c r="D281" s="148">
        <f>+D279-D280</f>
        <v>0</v>
      </c>
      <c r="E281" s="147">
        <f>+E279-E280</f>
        <v>0</v>
      </c>
    </row>
    <row r="282" spans="2:5" hidden="1" x14ac:dyDescent="0.25">
      <c r="B282" s="144" t="s">
        <v>188</v>
      </c>
      <c r="C282" s="140"/>
      <c r="D282" s="141"/>
      <c r="E282" s="142"/>
    </row>
    <row r="283" spans="2:5" hidden="1" x14ac:dyDescent="0.25">
      <c r="B283" s="31" t="str">
        <f>+B268</f>
        <v xml:space="preserve">Costos de adquisición  </v>
      </c>
      <c r="C283" s="70">
        <f>+'[1]BALANZA G'!D55</f>
        <v>1623675</v>
      </c>
      <c r="D283" s="132">
        <f>+'[1]BALANZA G'!D55</f>
        <v>1623675</v>
      </c>
      <c r="E283" s="69">
        <f>+C283-D283</f>
        <v>0</v>
      </c>
    </row>
    <row r="284" spans="2:5" hidden="1" x14ac:dyDescent="0.25">
      <c r="B284" s="31" t="str">
        <f>+B269</f>
        <v>Adiciones</v>
      </c>
      <c r="C284" s="70">
        <f>+'[1]BALANZA G'!C55-'[1]BALANZA G'!D55</f>
        <v>0</v>
      </c>
      <c r="D284" s="132">
        <f>+'[1]BALANZA G'!F55</f>
        <v>1623675</v>
      </c>
      <c r="E284" s="69">
        <f>+C284-D284</f>
        <v>-1623675</v>
      </c>
    </row>
    <row r="285" spans="2:5" hidden="1" x14ac:dyDescent="0.25">
      <c r="B285" s="31" t="str">
        <f>+B270</f>
        <v>Retiros</v>
      </c>
      <c r="C285" s="70"/>
      <c r="D285" s="132"/>
      <c r="E285" s="69">
        <f>+C285-D285</f>
        <v>0</v>
      </c>
    </row>
    <row r="286" spans="2:5" hidden="1" x14ac:dyDescent="0.25">
      <c r="B286" s="31" t="str">
        <f>+B271</f>
        <v>Depreciación Acumulada</v>
      </c>
      <c r="C286" s="70"/>
      <c r="D286" s="132"/>
      <c r="E286" s="69"/>
    </row>
    <row r="287" spans="2:5" hidden="1" x14ac:dyDescent="0.25">
      <c r="B287" s="31" t="str">
        <f>+B272</f>
        <v>Depreciación del periodo</v>
      </c>
      <c r="C287" s="70"/>
      <c r="D287" s="132"/>
      <c r="E287" s="69"/>
    </row>
    <row r="288" spans="2:5" hidden="1" x14ac:dyDescent="0.25">
      <c r="B288" s="134" t="s">
        <v>189</v>
      </c>
      <c r="C288" s="135">
        <f>SUM(C277:C284)</f>
        <v>1623675</v>
      </c>
      <c r="D288" s="136">
        <f>SUM(D277:D284)</f>
        <v>3247350</v>
      </c>
      <c r="E288" s="135">
        <f>SUM(E277:E284)</f>
        <v>-1623675</v>
      </c>
    </row>
    <row r="289" spans="2:6" hidden="1" x14ac:dyDescent="0.25">
      <c r="B289" s="144" t="s">
        <v>190</v>
      </c>
      <c r="C289" s="140"/>
      <c r="D289" s="141"/>
      <c r="E289" s="142"/>
    </row>
    <row r="290" spans="2:6" hidden="1" x14ac:dyDescent="0.25">
      <c r="B290" s="31" t="str">
        <f>+B283</f>
        <v xml:space="preserve">Costos de adquisición  </v>
      </c>
      <c r="C290" s="70">
        <f>+'[1]BALANZA G'!D58</f>
        <v>953149176.46000004</v>
      </c>
      <c r="D290" s="132">
        <f>+'[1]BALANZA G'!D58</f>
        <v>953149176.46000004</v>
      </c>
      <c r="E290" s="69">
        <f>+C290-D290</f>
        <v>0</v>
      </c>
    </row>
    <row r="291" spans="2:6" hidden="1" x14ac:dyDescent="0.25">
      <c r="B291" s="31" t="str">
        <f>+B284</f>
        <v>Adiciones</v>
      </c>
      <c r="C291" s="70">
        <f>+'[1]BALANZA G'!C58-'[1]BALANZA G'!D58</f>
        <v>0</v>
      </c>
      <c r="D291" s="132">
        <f>+'[1]BALANZA G'!J57</f>
        <v>0</v>
      </c>
      <c r="E291" s="69">
        <f>+C291-D291</f>
        <v>0</v>
      </c>
    </row>
    <row r="292" spans="2:6" hidden="1" x14ac:dyDescent="0.25">
      <c r="B292" s="31" t="str">
        <f>+B285</f>
        <v>Retiros</v>
      </c>
      <c r="C292" s="70"/>
      <c r="D292" s="132"/>
      <c r="E292" s="69"/>
    </row>
    <row r="293" spans="2:6" hidden="1" x14ac:dyDescent="0.25">
      <c r="B293" s="31" t="str">
        <f>+B286</f>
        <v>Depreciación Acumulada</v>
      </c>
      <c r="C293" s="70">
        <f>-[1]nota13!E28</f>
        <v>-270856525.61000001</v>
      </c>
      <c r="D293" s="132"/>
      <c r="E293" s="69"/>
    </row>
    <row r="294" spans="2:6" hidden="1" x14ac:dyDescent="0.25">
      <c r="B294" s="31" t="str">
        <f>+B287</f>
        <v>Depreciación del periodo</v>
      </c>
      <c r="C294" s="70">
        <f>-[1]nota13!E29</f>
        <v>-18874225.209999979</v>
      </c>
      <c r="D294" s="132"/>
      <c r="E294" s="69"/>
    </row>
    <row r="295" spans="2:6" hidden="1" x14ac:dyDescent="0.25">
      <c r="B295" s="134" t="s">
        <v>191</v>
      </c>
      <c r="C295" s="135">
        <f>SUM(C290:C294)</f>
        <v>663418425.6400001</v>
      </c>
      <c r="D295" s="136">
        <f>+D290+D291-D292</f>
        <v>953149176.46000004</v>
      </c>
      <c r="E295" s="135">
        <f>+E290+E291-E292</f>
        <v>0</v>
      </c>
    </row>
    <row r="296" spans="2:6" hidden="1" x14ac:dyDescent="0.25">
      <c r="B296" s="134" t="s">
        <v>189</v>
      </c>
      <c r="C296" s="135">
        <f>+C295+C288</f>
        <v>665042100.6400001</v>
      </c>
      <c r="D296" s="136">
        <f>+D295+D288</f>
        <v>956396526.46000004</v>
      </c>
      <c r="E296" s="135">
        <f>+E295+E288</f>
        <v>-1623675</v>
      </c>
      <c r="F296" s="150">
        <f>+F295+F288</f>
        <v>0</v>
      </c>
    </row>
    <row r="297" spans="2:6" hidden="1" x14ac:dyDescent="0.25">
      <c r="B297" s="134" t="s">
        <v>192</v>
      </c>
      <c r="C297" s="137"/>
      <c r="D297" s="138"/>
      <c r="E297" s="139">
        <f>+C297-D297</f>
        <v>0</v>
      </c>
    </row>
    <row r="298" spans="2:6" ht="27" hidden="1" customHeight="1" x14ac:dyDescent="0.25">
      <c r="B298" s="134" t="s">
        <v>193</v>
      </c>
      <c r="C298" s="135">
        <f>+C296-C297</f>
        <v>665042100.6400001</v>
      </c>
      <c r="D298" s="136">
        <f>+D296-D297</f>
        <v>956396526.46000004</v>
      </c>
      <c r="E298" s="135">
        <f>+E296-E297</f>
        <v>-1623675</v>
      </c>
    </row>
    <row r="299" spans="2:6" hidden="1" x14ac:dyDescent="0.25">
      <c r="B299" s="151" t="s">
        <v>194</v>
      </c>
      <c r="C299" s="145"/>
      <c r="D299" s="132"/>
      <c r="E299" s="69">
        <f>+C299-D299</f>
        <v>0</v>
      </c>
    </row>
    <row r="300" spans="2:6" hidden="1" x14ac:dyDescent="0.25">
      <c r="B300" s="103" t="s">
        <v>195</v>
      </c>
      <c r="C300" s="70"/>
      <c r="D300" s="132"/>
      <c r="E300" s="69">
        <f>+C300-D300</f>
        <v>0</v>
      </c>
    </row>
    <row r="301" spans="2:6" hidden="1" x14ac:dyDescent="0.25">
      <c r="B301" s="134" t="s">
        <v>196</v>
      </c>
      <c r="C301" s="135">
        <f>SUM(C300)</f>
        <v>0</v>
      </c>
      <c r="D301" s="136">
        <f>SUM(D300)</f>
        <v>0</v>
      </c>
      <c r="E301" s="135">
        <f>SUM(E300)</f>
        <v>0</v>
      </c>
    </row>
    <row r="302" spans="2:6" ht="28.5" hidden="1" x14ac:dyDescent="0.25">
      <c r="B302" s="134" t="s">
        <v>197</v>
      </c>
      <c r="C302" s="137"/>
      <c r="D302" s="138"/>
      <c r="E302" s="139">
        <f>+C302-D302</f>
        <v>0</v>
      </c>
    </row>
    <row r="303" spans="2:6" ht="28.5" hidden="1" x14ac:dyDescent="0.25">
      <c r="B303" s="134" t="s">
        <v>198</v>
      </c>
      <c r="C303" s="135">
        <f>+C301-C302</f>
        <v>0</v>
      </c>
      <c r="D303" s="136">
        <f>+D301-D302</f>
        <v>0</v>
      </c>
      <c r="E303" s="135">
        <f>+E301-E302</f>
        <v>0</v>
      </c>
    </row>
    <row r="304" spans="2:6" hidden="1" x14ac:dyDescent="0.25">
      <c r="B304" s="151" t="s">
        <v>199</v>
      </c>
      <c r="C304" s="145"/>
      <c r="D304" s="132"/>
      <c r="E304" s="69"/>
    </row>
    <row r="305" spans="2:26" hidden="1" x14ac:dyDescent="0.25">
      <c r="B305" s="146" t="s">
        <v>200</v>
      </c>
      <c r="C305" s="70"/>
      <c r="D305" s="132"/>
      <c r="E305" s="69">
        <f>+C305-D305</f>
        <v>0</v>
      </c>
    </row>
    <row r="306" spans="2:26" ht="12" hidden="1" customHeight="1" x14ac:dyDescent="0.25">
      <c r="B306" s="146" t="s">
        <v>201</v>
      </c>
      <c r="C306" s="70"/>
      <c r="D306" s="132"/>
      <c r="E306" s="69">
        <f>+C306-D306</f>
        <v>0</v>
      </c>
    </row>
    <row r="307" spans="2:26" ht="13.5" hidden="1" customHeight="1" x14ac:dyDescent="0.25">
      <c r="B307" s="146" t="s">
        <v>202</v>
      </c>
      <c r="C307" s="70"/>
      <c r="D307" s="132"/>
      <c r="E307" s="69">
        <f>+C307-D307</f>
        <v>0</v>
      </c>
    </row>
    <row r="308" spans="2:26" ht="24.75" hidden="1" customHeight="1" x14ac:dyDescent="0.25">
      <c r="B308" s="134" t="s">
        <v>203</v>
      </c>
      <c r="C308" s="135">
        <f>SUM(C305:C307)</f>
        <v>0</v>
      </c>
      <c r="D308" s="136">
        <f>SUM(D305:D307)</f>
        <v>0</v>
      </c>
      <c r="E308" s="135">
        <f>SUM(E305:E307)</f>
        <v>0</v>
      </c>
    </row>
    <row r="309" spans="2:26" ht="21" hidden="1" customHeight="1" x14ac:dyDescent="0.25">
      <c r="B309" s="134" t="s">
        <v>204</v>
      </c>
      <c r="C309" s="137"/>
      <c r="D309" s="138"/>
      <c r="E309" s="139">
        <f>+C309-D309</f>
        <v>0</v>
      </c>
    </row>
    <row r="310" spans="2:26" ht="33" hidden="1" customHeight="1" x14ac:dyDescent="0.25">
      <c r="B310" s="134" t="s">
        <v>205</v>
      </c>
      <c r="C310" s="135">
        <f>+C308-C309</f>
        <v>0</v>
      </c>
      <c r="D310" s="136">
        <f>+D308-D309</f>
        <v>0</v>
      </c>
      <c r="E310" s="135">
        <f>+E308-E309</f>
        <v>0</v>
      </c>
    </row>
    <row r="311" spans="2:26" hidden="1" x14ac:dyDescent="0.25">
      <c r="B311" s="134" t="s">
        <v>206</v>
      </c>
      <c r="C311" s="152">
        <f>+C310+C303+C298+C281+C275+C266+C257+C248</f>
        <v>691677721.78000021</v>
      </c>
      <c r="D311" s="153">
        <f>+D310+D303+D298+D281+D275+D266+D257+D248</f>
        <v>1100214563.77</v>
      </c>
      <c r="E311" s="152">
        <f>+E310+E303+E298+E281+E275+E266+E257+E248</f>
        <v>-37308086.149999999</v>
      </c>
    </row>
    <row r="312" spans="2:26" hidden="1" x14ac:dyDescent="0.25">
      <c r="B312" s="134" t="s">
        <v>207</v>
      </c>
      <c r="C312" s="154">
        <f>+C309+C302+C297+C280+C274+C265+C256+C247</f>
        <v>0</v>
      </c>
      <c r="D312" s="138">
        <f>+D309+D302+D297+D280+D274+D265+D256+D247</f>
        <v>0</v>
      </c>
      <c r="E312" s="139">
        <f>+C312-D312</f>
        <v>0</v>
      </c>
    </row>
    <row r="313" spans="2:26" hidden="1" x14ac:dyDescent="0.25">
      <c r="B313" s="134" t="s">
        <v>208</v>
      </c>
      <c r="C313" s="152">
        <f>+C296+C275+C266+C257+C248</f>
        <v>691677721.78000021</v>
      </c>
      <c r="D313" s="153">
        <f>+D296+D275+D266+D257+D248</f>
        <v>1100214563.77</v>
      </c>
      <c r="E313" s="152">
        <f>+E311-E312</f>
        <v>-37308086.149999999</v>
      </c>
    </row>
    <row r="314" spans="2:26" s="8" customFormat="1" ht="9.75" hidden="1" customHeight="1" x14ac:dyDescent="0.25">
      <c r="B314" s="155"/>
      <c r="C314" s="156"/>
      <c r="D314" s="157"/>
      <c r="E314" s="158"/>
      <c r="J314" s="11"/>
      <c r="K314" s="11"/>
      <c r="N314" s="11"/>
      <c r="R314" s="3"/>
      <c r="S314" s="3"/>
      <c r="T314" s="3"/>
      <c r="U314" s="3"/>
      <c r="V314" s="3"/>
      <c r="W314" s="3"/>
      <c r="X314" s="3"/>
      <c r="Y314" s="3"/>
      <c r="Z314" s="11"/>
    </row>
    <row r="315" spans="2:26" s="35" customFormat="1" x14ac:dyDescent="0.25">
      <c r="B315" s="272" t="str">
        <f>("Cambio porcentual con relación al "&amp;$D$117&amp;".")</f>
        <v>Cambio porcentual con relación al 2024.</v>
      </c>
      <c r="C315" s="273"/>
      <c r="D315" s="118" t="str">
        <f>IF(E315&gt;=0,"Aumento","Disminución")</f>
        <v>Disminución</v>
      </c>
      <c r="E315" s="119">
        <f>+E313/D313</f>
        <v>-3.3909827572323664E-2</v>
      </c>
      <c r="J315" s="39"/>
      <c r="K315" s="39"/>
      <c r="N315" s="39"/>
      <c r="R315" s="40"/>
      <c r="S315" s="40"/>
      <c r="T315" s="40"/>
      <c r="U315" s="40"/>
      <c r="V315" s="40"/>
      <c r="W315" s="40"/>
      <c r="X315" s="40"/>
      <c r="Y315" s="40"/>
      <c r="Z315" s="39"/>
    </row>
    <row r="316" spans="2:26" x14ac:dyDescent="0.25">
      <c r="B316" s="94"/>
    </row>
    <row r="317" spans="2:26" x14ac:dyDescent="0.25">
      <c r="B317" s="94"/>
    </row>
    <row r="318" spans="2:26" x14ac:dyDescent="0.25">
      <c r="B318" s="94"/>
    </row>
    <row r="319" spans="2:26" x14ac:dyDescent="0.25">
      <c r="B319" s="94"/>
    </row>
    <row r="320" spans="2:26" x14ac:dyDescent="0.25">
      <c r="B320" s="94"/>
    </row>
    <row r="321" spans="2:2" x14ac:dyDescent="0.25">
      <c r="B321" s="94"/>
    </row>
    <row r="322" spans="2:2" x14ac:dyDescent="0.25">
      <c r="B322" s="94"/>
    </row>
    <row r="323" spans="2:2" x14ac:dyDescent="0.25">
      <c r="B323" s="94"/>
    </row>
    <row r="324" spans="2:2" x14ac:dyDescent="0.25">
      <c r="B324" s="94"/>
    </row>
    <row r="325" spans="2:2" x14ac:dyDescent="0.25">
      <c r="B325" s="94"/>
    </row>
    <row r="326" spans="2:2" x14ac:dyDescent="0.25">
      <c r="B326" s="94"/>
    </row>
    <row r="327" spans="2:2" x14ac:dyDescent="0.25">
      <c r="B327" s="94"/>
    </row>
    <row r="328" spans="2:2" x14ac:dyDescent="0.25">
      <c r="B328" s="94"/>
    </row>
    <row r="329" spans="2:2" x14ac:dyDescent="0.25">
      <c r="B329" s="94"/>
    </row>
    <row r="330" spans="2:2" x14ac:dyDescent="0.25">
      <c r="B330" s="94"/>
    </row>
    <row r="331" spans="2:2" x14ac:dyDescent="0.25">
      <c r="B331" s="94"/>
    </row>
    <row r="332" spans="2:2" x14ac:dyDescent="0.25">
      <c r="B332" s="94"/>
    </row>
    <row r="333" spans="2:2" x14ac:dyDescent="0.25">
      <c r="B333" s="94"/>
    </row>
    <row r="334" spans="2:2" x14ac:dyDescent="0.25">
      <c r="B334" s="94"/>
    </row>
    <row r="335" spans="2:2" x14ac:dyDescent="0.25">
      <c r="B335" s="94"/>
    </row>
    <row r="336" spans="2:2" x14ac:dyDescent="0.25">
      <c r="B336" s="94"/>
    </row>
    <row r="337" spans="2:2" x14ac:dyDescent="0.25">
      <c r="B337" s="94"/>
    </row>
    <row r="338" spans="2:2" x14ac:dyDescent="0.25">
      <c r="B338" s="94"/>
    </row>
    <row r="339" spans="2:2" x14ac:dyDescent="0.25">
      <c r="B339" s="94"/>
    </row>
    <row r="340" spans="2:2" x14ac:dyDescent="0.25">
      <c r="B340" s="94"/>
    </row>
    <row r="341" spans="2:2" x14ac:dyDescent="0.25">
      <c r="B341" s="94"/>
    </row>
    <row r="342" spans="2:2" x14ac:dyDescent="0.25">
      <c r="B342" s="94"/>
    </row>
    <row r="343" spans="2:2" x14ac:dyDescent="0.25">
      <c r="B343" s="94"/>
    </row>
    <row r="344" spans="2:2" ht="35.25" customHeight="1" x14ac:dyDescent="0.25">
      <c r="B344" s="94"/>
    </row>
    <row r="345" spans="2:2" x14ac:dyDescent="0.25">
      <c r="B345" s="94"/>
    </row>
    <row r="346" spans="2:2" x14ac:dyDescent="0.25">
      <c r="B346" s="94"/>
    </row>
    <row r="347" spans="2:2" x14ac:dyDescent="0.25">
      <c r="B347" s="94"/>
    </row>
    <row r="348" spans="2:2" x14ac:dyDescent="0.25">
      <c r="B348" s="94"/>
    </row>
    <row r="349" spans="2:2" x14ac:dyDescent="0.25">
      <c r="B349" s="94"/>
    </row>
    <row r="350" spans="2:2" ht="6" customHeight="1" x14ac:dyDescent="0.25">
      <c r="B350" s="94"/>
    </row>
    <row r="351" spans="2:2" x14ac:dyDescent="0.25">
      <c r="B351" s="94"/>
    </row>
    <row r="352" spans="2:2" x14ac:dyDescent="0.25">
      <c r="B352" s="94"/>
    </row>
    <row r="353" spans="2:26" x14ac:dyDescent="0.25">
      <c r="B353" s="94"/>
    </row>
    <row r="354" spans="2:26" x14ac:dyDescent="0.25">
      <c r="B354" s="52" t="s">
        <v>209</v>
      </c>
    </row>
    <row r="355" spans="2:26" x14ac:dyDescent="0.25">
      <c r="B355" s="52" t="s">
        <v>210</v>
      </c>
    </row>
    <row r="356" spans="2:26" ht="15" customHeight="1" x14ac:dyDescent="0.25">
      <c r="B356" s="276" t="str">
        <f>("Un detalle de las  "&amp;B355&amp;" al "&amp;[1]BALANZA!$B$3&amp;" "&amp;[1]BALANZA!$C$3&amp;" es como se detalla a continuación:")</f>
        <v>Un detalle de las  Activos Intangible  al 30 de junio del 2025 - 2024 es como se detalla a continuación:</v>
      </c>
      <c r="C356" s="277"/>
      <c r="D356" s="277"/>
      <c r="E356" s="277"/>
    </row>
    <row r="357" spans="2:26" ht="33.75" customHeight="1" x14ac:dyDescent="0.25">
      <c r="B357" s="271" t="str">
        <f>("Las "&amp;B355&amp;" está integrado siguientes cuentas, para el "&amp;C359&amp;" el total era de RD$"&amp;R362&amp;" y para el "&amp;D359&amp;" el total fue de RD$"&amp;R363&amp;" , Según el siguiente detalle:")</f>
        <v>Las Activos Intangible  está integrado siguientes cuentas, para el 2025 el total era de RD$1564 y para el 2024 el total fue de RD$72985.67 , Según el siguiente detalle:</v>
      </c>
      <c r="C357" s="271"/>
      <c r="D357" s="271"/>
      <c r="E357" s="271"/>
      <c r="I357" s="159"/>
      <c r="J357" s="160"/>
    </row>
    <row r="358" spans="2:26" s="35" customFormat="1" ht="12.75" customHeight="1" x14ac:dyDescent="0.25">
      <c r="B358" s="161"/>
      <c r="C358" s="161"/>
      <c r="D358" s="162"/>
      <c r="E358" s="163"/>
      <c r="J358" s="39"/>
      <c r="K358" s="39"/>
      <c r="N358" s="39"/>
      <c r="R358" s="40"/>
      <c r="S358" s="40"/>
      <c r="T358" s="40"/>
      <c r="U358" s="40"/>
      <c r="V358" s="40"/>
      <c r="W358" s="40"/>
      <c r="X358" s="40"/>
      <c r="Y358" s="40"/>
      <c r="Z358" s="39"/>
    </row>
    <row r="359" spans="2:26" x14ac:dyDescent="0.25">
      <c r="B359" s="164" t="s">
        <v>94</v>
      </c>
      <c r="C359" s="165">
        <f>+[1]BALANZA!B4</f>
        <v>2025</v>
      </c>
      <c r="D359" s="165">
        <f>+[1]BALANZA!C4</f>
        <v>2024</v>
      </c>
      <c r="E359" s="164" t="s">
        <v>95</v>
      </c>
    </row>
    <row r="360" spans="2:26" x14ac:dyDescent="0.25">
      <c r="B360" s="166" t="s">
        <v>211</v>
      </c>
      <c r="C360" s="79">
        <v>208560</v>
      </c>
      <c r="D360" s="79">
        <v>175165.5</v>
      </c>
      <c r="E360" s="167">
        <f>+C360-D360</f>
        <v>33394.5</v>
      </c>
      <c r="K360" s="2">
        <v>160568.42000000001</v>
      </c>
    </row>
    <row r="361" spans="2:26" x14ac:dyDescent="0.25">
      <c r="B361" s="166" t="s">
        <v>212</v>
      </c>
      <c r="C361" s="79">
        <f>-C576</f>
        <v>-52140</v>
      </c>
      <c r="D361" s="79">
        <v>-102179.83</v>
      </c>
      <c r="E361" s="167">
        <f>+C361-D361</f>
        <v>50039.83</v>
      </c>
      <c r="J361" s="2">
        <v>-20309</v>
      </c>
      <c r="K361" s="2">
        <v>-160568.42000000001</v>
      </c>
    </row>
    <row r="362" spans="2:26" x14ac:dyDescent="0.25">
      <c r="B362" s="106" t="s">
        <v>213</v>
      </c>
      <c r="C362" s="107">
        <f>+C360+C361</f>
        <v>156420</v>
      </c>
      <c r="D362" s="107">
        <f>SUM(D360:D360)+D361</f>
        <v>72985.67</v>
      </c>
      <c r="E362" s="107">
        <f>SUM(E360:E360)-E361</f>
        <v>-16645.330000000002</v>
      </c>
      <c r="K362" s="2">
        <v>0</v>
      </c>
      <c r="R362" s="3" t="str">
        <f>+CONCATENATE(S362,T362,,)</f>
        <v>1564</v>
      </c>
      <c r="S362" s="3" t="str">
        <f>MID(C362,1,3)</f>
        <v>156</v>
      </c>
      <c r="T362" s="3" t="str">
        <f>MID(C362,4,1)</f>
        <v>4</v>
      </c>
      <c r="U362" s="3" t="str">
        <f>MID(C362,6,3)</f>
        <v>0</v>
      </c>
    </row>
    <row r="363" spans="2:26" ht="10.5" customHeight="1" x14ac:dyDescent="0.25">
      <c r="B363" s="168"/>
      <c r="C363" s="169"/>
      <c r="D363" s="170"/>
      <c r="E363" s="171"/>
      <c r="R363" s="3" t="str">
        <f>+CONCATENATE(S363,"",T363,U363)</f>
        <v>72985.67</v>
      </c>
      <c r="S363" s="3" t="str">
        <f>MID(D362,1,3)</f>
        <v>729</v>
      </c>
      <c r="T363" s="3" t="str">
        <f>MID(D362,4,3)</f>
        <v>85.</v>
      </c>
      <c r="U363" s="3" t="str">
        <f>MID(D362,7,3)</f>
        <v>67</v>
      </c>
    </row>
    <row r="364" spans="2:26" s="35" customFormat="1" x14ac:dyDescent="0.25">
      <c r="B364" s="272" t="str">
        <f>("Cambio porcentual con relación al "&amp;$D$117&amp;".")</f>
        <v>Cambio porcentual con relación al 2024.</v>
      </c>
      <c r="C364" s="273"/>
      <c r="D364" s="172">
        <v>0</v>
      </c>
      <c r="E364" s="76">
        <f>IFERROR(+E362/D362,0)</f>
        <v>-0.22806298825509175</v>
      </c>
      <c r="J364" s="39"/>
      <c r="K364" s="39"/>
      <c r="N364" s="39"/>
      <c r="R364" s="40"/>
      <c r="S364" s="40"/>
      <c r="T364" s="40"/>
      <c r="U364" s="40"/>
      <c r="V364" s="40"/>
      <c r="W364" s="40"/>
      <c r="X364" s="40"/>
      <c r="Y364" s="40"/>
      <c r="Z364" s="39"/>
    </row>
    <row r="365" spans="2:26" s="35" customFormat="1" x14ac:dyDescent="0.25">
      <c r="B365" s="161"/>
      <c r="C365" s="161"/>
      <c r="D365" s="173"/>
      <c r="E365" s="163"/>
      <c r="J365" s="39"/>
      <c r="K365" s="39"/>
      <c r="N365" s="39"/>
      <c r="R365" s="40"/>
      <c r="S365" s="40"/>
      <c r="T365" s="40"/>
      <c r="U365" s="40"/>
      <c r="V365" s="40"/>
      <c r="W365" s="40"/>
      <c r="X365" s="40"/>
      <c r="Y365" s="40"/>
      <c r="Z365" s="39"/>
    </row>
    <row r="366" spans="2:26" s="35" customFormat="1" x14ac:dyDescent="0.25">
      <c r="B366" s="286" t="s">
        <v>157</v>
      </c>
      <c r="C366" s="286"/>
      <c r="D366" s="286"/>
      <c r="E366" s="286"/>
      <c r="J366" s="39"/>
      <c r="K366" s="39"/>
      <c r="N366" s="39"/>
      <c r="R366" s="40"/>
      <c r="S366" s="40"/>
      <c r="T366" s="40"/>
      <c r="U366" s="40"/>
      <c r="V366" s="40"/>
      <c r="W366" s="40"/>
      <c r="X366" s="40"/>
      <c r="Y366" s="40"/>
      <c r="Z366" s="39"/>
    </row>
    <row r="367" spans="2:26" s="35" customFormat="1" x14ac:dyDescent="0.25">
      <c r="B367" s="161"/>
      <c r="C367" s="161"/>
      <c r="D367" s="173"/>
      <c r="E367" s="163"/>
      <c r="J367" s="39"/>
      <c r="K367" s="39"/>
      <c r="N367" s="39"/>
      <c r="R367" s="40"/>
      <c r="S367" s="40"/>
      <c r="T367" s="40"/>
      <c r="U367" s="40"/>
      <c r="V367" s="40"/>
      <c r="W367" s="40"/>
      <c r="X367" s="40"/>
      <c r="Y367" s="40"/>
      <c r="Z367" s="39"/>
    </row>
    <row r="368" spans="2:26" s="35" customFormat="1" x14ac:dyDescent="0.25">
      <c r="B368" s="161"/>
      <c r="C368" s="161"/>
      <c r="D368" s="173"/>
      <c r="E368" s="163"/>
      <c r="J368" s="39"/>
      <c r="K368" s="39"/>
      <c r="N368" s="39"/>
      <c r="R368" s="40"/>
      <c r="S368" s="40"/>
      <c r="T368" s="40"/>
      <c r="U368" s="40"/>
      <c r="V368" s="40"/>
      <c r="W368" s="40"/>
      <c r="X368" s="40"/>
      <c r="Y368" s="40"/>
      <c r="Z368" s="39"/>
    </row>
    <row r="369" spans="2:26" s="35" customFormat="1" x14ac:dyDescent="0.25">
      <c r="B369" s="161"/>
      <c r="C369" s="161"/>
      <c r="D369" s="173"/>
      <c r="E369" s="163"/>
      <c r="J369" s="39"/>
      <c r="K369" s="39"/>
      <c r="N369" s="39"/>
      <c r="R369" s="40"/>
      <c r="S369" s="40"/>
      <c r="T369" s="40"/>
      <c r="U369" s="40"/>
      <c r="V369" s="40"/>
      <c r="W369" s="40"/>
      <c r="X369" s="40"/>
      <c r="Y369" s="40"/>
      <c r="Z369" s="39"/>
    </row>
    <row r="370" spans="2:26" s="35" customFormat="1" x14ac:dyDescent="0.25">
      <c r="B370" s="161"/>
      <c r="C370" s="161"/>
      <c r="D370" s="173"/>
      <c r="E370" s="163"/>
      <c r="J370" s="39"/>
      <c r="K370" s="39"/>
      <c r="N370" s="39"/>
      <c r="R370" s="40"/>
      <c r="S370" s="40"/>
      <c r="T370" s="40"/>
      <c r="U370" s="40"/>
      <c r="V370" s="40"/>
      <c r="W370" s="40"/>
      <c r="X370" s="40"/>
      <c r="Y370" s="40"/>
      <c r="Z370" s="39"/>
    </row>
    <row r="371" spans="2:26" s="35" customFormat="1" ht="8.25" customHeight="1" x14ac:dyDescent="0.25">
      <c r="B371" s="174"/>
      <c r="C371" s="174"/>
      <c r="D371" s="175"/>
      <c r="E371" s="176"/>
      <c r="J371" s="39"/>
      <c r="K371" s="39"/>
      <c r="N371" s="39"/>
      <c r="R371" s="40"/>
      <c r="S371" s="40"/>
      <c r="T371" s="40"/>
      <c r="U371" s="40"/>
      <c r="V371" s="40"/>
      <c r="W371" s="40"/>
      <c r="X371" s="40"/>
      <c r="Y371" s="40"/>
      <c r="Z371" s="39"/>
    </row>
    <row r="372" spans="2:26" x14ac:dyDescent="0.25">
      <c r="B372" s="177" t="s">
        <v>214</v>
      </c>
      <c r="C372" s="178"/>
      <c r="D372" s="179"/>
      <c r="E372" s="178"/>
    </row>
    <row r="373" spans="2:26" ht="21.75" customHeight="1" x14ac:dyDescent="0.25">
      <c r="B373" s="283" t="s">
        <v>215</v>
      </c>
      <c r="C373" s="283"/>
      <c r="D373" s="283"/>
      <c r="E373" s="283"/>
    </row>
    <row r="374" spans="2:26" ht="27.75" customHeight="1" x14ac:dyDescent="0.25">
      <c r="B374" s="276" t="str">
        <f>("Un detalle de las  "&amp;B373&amp;" al "&amp;[1]BALANZA!$B$3&amp;" "&amp;[1]BALANZA!$C$3&amp;" es como se detalla a continuación:")</f>
        <v>Un detalle de las  Cuentas por pagar a corto plazo al 30 de junio del 2025 - 2024 es como se detalla a continuación:</v>
      </c>
      <c r="C374" s="277"/>
      <c r="D374" s="277"/>
      <c r="E374" s="277"/>
    </row>
    <row r="375" spans="2:26" ht="59.25" customHeight="1" x14ac:dyDescent="0.25">
      <c r="B375" s="271" t="str">
        <f>("Las Cuentas por Pagar está integrado por las deudas y compromisos de pago que tiene la institución con los suplidores de servicios, retenciones impositivas y documentos por pagar, con un aumento en el "&amp;C378&amp;"  el total era de RD$ "&amp;R382&amp;" y para el "&amp;D378&amp;" el total fue de RD$ "&amp;R383&amp;" , Según el siguiente detalle:")</f>
        <v>Las Cuentas por Pagar está integrado por las deudas y compromisos de pago que tiene la institución con los suplidores de servicios, retenciones impositivas y documentos por pagar, con un aumento en el 2025  el total era de RD$ 27,026,598.7 y para el 2024 el total fue de RD$ 13,649,704.4 , Según el siguiente detalle:</v>
      </c>
      <c r="C375" s="271"/>
      <c r="D375" s="271"/>
      <c r="E375" s="271"/>
    </row>
    <row r="376" spans="2:26" ht="45" customHeight="1" x14ac:dyDescent="0.25">
      <c r="B376" s="276" t="s">
        <v>216</v>
      </c>
      <c r="C376" s="276"/>
      <c r="D376" s="276"/>
      <c r="E376" s="276"/>
    </row>
    <row r="377" spans="2:26" x14ac:dyDescent="0.25">
      <c r="B377" s="10" t="s">
        <v>217</v>
      </c>
    </row>
    <row r="378" spans="2:26" x14ac:dyDescent="0.25">
      <c r="B378" s="180" t="s">
        <v>218</v>
      </c>
      <c r="C378" s="165">
        <f>+[1]BALANZA!B4</f>
        <v>2025</v>
      </c>
      <c r="D378" s="165">
        <f>+[1]BALANZA!C4</f>
        <v>2024</v>
      </c>
      <c r="E378" s="181" t="s">
        <v>219</v>
      </c>
      <c r="K378" s="2">
        <f>+D379+D380+K381</f>
        <v>12207450.310000001</v>
      </c>
    </row>
    <row r="379" spans="2:26" x14ac:dyDescent="0.25">
      <c r="B379" s="146" t="s">
        <v>220</v>
      </c>
      <c r="C379" s="79">
        <f>+'[1]BALANZA G'!C107-C380</f>
        <v>14904669.819999998</v>
      </c>
      <c r="D379" s="79">
        <v>11406586.24</v>
      </c>
      <c r="E379" s="34">
        <f>+C379-D379</f>
        <v>3498083.5799999982</v>
      </c>
      <c r="K379" s="2">
        <v>930.44</v>
      </c>
    </row>
    <row r="380" spans="2:26" x14ac:dyDescent="0.25">
      <c r="B380" s="146" t="s">
        <v>221</v>
      </c>
      <c r="C380" s="182">
        <f>12121928.88</f>
        <v>12121928.880000001</v>
      </c>
      <c r="D380" s="79">
        <v>800000</v>
      </c>
      <c r="E380" s="34">
        <f>+C380-D380</f>
        <v>11321928.880000001</v>
      </c>
      <c r="K380" s="2">
        <v>66.37</v>
      </c>
    </row>
    <row r="381" spans="2:26" x14ac:dyDescent="0.25">
      <c r="B381" s="146" t="s">
        <v>222</v>
      </c>
      <c r="C381" s="182">
        <f>+'[1]BALANZA G'!C108+'[1]BALANZA G'!C109</f>
        <v>0</v>
      </c>
      <c r="D381" s="79">
        <v>1443118.16</v>
      </c>
      <c r="E381" s="34">
        <f>+C381-D381</f>
        <v>-1443118.16</v>
      </c>
      <c r="K381" s="2">
        <f>+K379-K380</f>
        <v>864.07</v>
      </c>
    </row>
    <row r="382" spans="2:26" x14ac:dyDescent="0.25">
      <c r="B382" s="180" t="s">
        <v>223</v>
      </c>
      <c r="C382" s="108">
        <f>SUM(C379:C381)</f>
        <v>27026598.699999999</v>
      </c>
      <c r="D382" s="183">
        <f>SUM(D379:D381)</f>
        <v>13649704.4</v>
      </c>
      <c r="E382" s="108">
        <f>SUM(E379:E381)</f>
        <v>13376894.299999999</v>
      </c>
      <c r="R382" s="3" t="str">
        <f>+CONCATENATE(S382,",",T382,",",U382,V382,AB382,"")</f>
        <v>27,026,598.7</v>
      </c>
      <c r="S382" s="3" t="str">
        <f>MID(C382,1,2)</f>
        <v>27</v>
      </c>
      <c r="T382" s="3" t="str">
        <f>MID(C382,3,3)</f>
        <v>026</v>
      </c>
      <c r="U382" s="3" t="str">
        <f>MID(C382,6,3)</f>
        <v>598</v>
      </c>
      <c r="V382" s="3" t="str">
        <f>MID(C382,9,3)</f>
        <v>.7</v>
      </c>
    </row>
    <row r="383" spans="2:26" x14ac:dyDescent="0.25">
      <c r="B383" s="184"/>
      <c r="C383" s="185"/>
      <c r="D383" s="186"/>
      <c r="R383" s="3" t="str">
        <f>+CONCATENATE(S383,",",T383,",",U383,V383,AB383)</f>
        <v>13,649,704.4</v>
      </c>
      <c r="S383" s="3" t="str">
        <f>MID(D382,1,2)</f>
        <v>13</v>
      </c>
      <c r="T383" s="3" t="str">
        <f>MID(D382,3,3)</f>
        <v>649</v>
      </c>
      <c r="U383" s="3" t="str">
        <f>MID(D382,6,3)</f>
        <v>704</v>
      </c>
      <c r="V383" s="3" t="str">
        <f>MID(D382,9,3)</f>
        <v>.4</v>
      </c>
    </row>
    <row r="384" spans="2:26" s="35" customFormat="1" x14ac:dyDescent="0.25">
      <c r="B384" s="272" t="str">
        <f>("Cambio porcentual con relación al "&amp;$D$117&amp;".")</f>
        <v>Cambio porcentual con relación al 2024.</v>
      </c>
      <c r="C384" s="273"/>
      <c r="D384" s="45" t="str">
        <f>IF(E384&gt;=0,"Aumento","Disminución")</f>
        <v>Aumento</v>
      </c>
      <c r="E384" s="76">
        <f>+E382/D382</f>
        <v>0.98001347926626148</v>
      </c>
      <c r="J384" s="39"/>
      <c r="K384" s="39"/>
      <c r="N384" s="39"/>
      <c r="R384" s="40"/>
      <c r="S384" s="40"/>
      <c r="T384" s="40"/>
      <c r="U384" s="40"/>
      <c r="V384" s="40"/>
      <c r="W384" s="40"/>
      <c r="X384" s="40"/>
      <c r="Y384" s="40"/>
      <c r="Z384" s="39"/>
    </row>
    <row r="385" spans="2:26" ht="22.5" customHeight="1" x14ac:dyDescent="0.25">
      <c r="B385" s="283" t="s">
        <v>224</v>
      </c>
      <c r="C385" s="283"/>
      <c r="D385" s="283"/>
      <c r="E385" s="283"/>
    </row>
    <row r="386" spans="2:26" ht="12.75" customHeight="1" x14ac:dyDescent="0.25">
      <c r="B386" s="187"/>
      <c r="C386" s="187"/>
      <c r="D386" s="188"/>
      <c r="E386" s="187"/>
    </row>
    <row r="387" spans="2:26" hidden="1" x14ac:dyDescent="0.25">
      <c r="B387" s="52" t="s">
        <v>225</v>
      </c>
    </row>
    <row r="388" spans="2:26" ht="24" hidden="1" customHeight="1" x14ac:dyDescent="0.25">
      <c r="B388" s="271" t="str">
        <f>+B136</f>
        <v>Un detalle del Inversiones a corto plazo al 30 de junio del 2025 - 2024 es como se detalla a continuación:</v>
      </c>
      <c r="C388" s="271"/>
      <c r="D388" s="271"/>
      <c r="E388" s="271"/>
    </row>
    <row r="389" spans="2:26" ht="78" hidden="1" customHeight="1" x14ac:dyDescent="0.25">
      <c r="B389" s="271" t="str">
        <f>("Los Prestamos por Pagar está integrado por las deudas y compromisos de pago que tiene la institución con los bancos, para el "&amp;C391&amp;" el total era de RD$"&amp;C393&amp;" y para el "&amp;D391&amp;" el total fue de RD$"&amp;D393&amp;" , Según el siguiente detalle:")</f>
        <v>Los Prestamos por Pagar está integrado por las deudas y compromisos de pago que tiene la institución con los bancos, para el 2025 el total era de RD$0 y para el 2024 el total fue de RD$0 , Según el siguiente detalle:</v>
      </c>
      <c r="C389" s="271"/>
      <c r="D389" s="271"/>
      <c r="E389" s="271"/>
    </row>
    <row r="390" spans="2:26" hidden="1" x14ac:dyDescent="0.25">
      <c r="B390" s="10" t="s">
        <v>217</v>
      </c>
    </row>
    <row r="391" spans="2:26" hidden="1" x14ac:dyDescent="0.25">
      <c r="B391" s="180" t="s">
        <v>218</v>
      </c>
      <c r="C391" s="165">
        <f>+C139</f>
        <v>2025</v>
      </c>
      <c r="D391" s="189">
        <f>+D139</f>
        <v>2024</v>
      </c>
      <c r="E391" s="181" t="s">
        <v>219</v>
      </c>
    </row>
    <row r="392" spans="2:26" hidden="1" x14ac:dyDescent="0.25">
      <c r="B392" s="146" t="s">
        <v>226</v>
      </c>
      <c r="C392" s="70">
        <f>+'[1]BALANZA G'!C118</f>
        <v>0</v>
      </c>
      <c r="D392" s="79">
        <f>+'[1]BALANZA G'!D118</f>
        <v>0</v>
      </c>
      <c r="E392" s="69">
        <f>+C392-D392</f>
        <v>0</v>
      </c>
    </row>
    <row r="393" spans="2:26" hidden="1" x14ac:dyDescent="0.25">
      <c r="B393" s="180" t="s">
        <v>227</v>
      </c>
      <c r="C393" s="108">
        <f>SUM(C392:C392)</f>
        <v>0</v>
      </c>
      <c r="D393" s="183">
        <f>SUM(D392:D392)</f>
        <v>0</v>
      </c>
      <c r="E393" s="108">
        <f>SUM(E392:E392)</f>
        <v>0</v>
      </c>
    </row>
    <row r="394" spans="2:26" hidden="1" x14ac:dyDescent="0.25">
      <c r="B394" s="184"/>
      <c r="C394" s="73"/>
      <c r="D394" s="186"/>
    </row>
    <row r="395" spans="2:26" s="35" customFormat="1" hidden="1" x14ac:dyDescent="0.25">
      <c r="B395" s="284" t="s">
        <v>228</v>
      </c>
      <c r="C395" s="285"/>
      <c r="D395" s="45" t="e">
        <f>IF(E395&gt;=0,"Aumento","Disminución")</f>
        <v>#DIV/0!</v>
      </c>
      <c r="E395" s="76" t="e">
        <f>+E393/D393</f>
        <v>#DIV/0!</v>
      </c>
      <c r="J395" s="39"/>
      <c r="K395" s="39"/>
      <c r="N395" s="39"/>
      <c r="R395" s="40"/>
      <c r="S395" s="40"/>
      <c r="T395" s="40"/>
      <c r="U395" s="40"/>
      <c r="V395" s="40"/>
      <c r="W395" s="40"/>
      <c r="X395" s="40"/>
      <c r="Y395" s="40"/>
      <c r="Z395" s="39"/>
    </row>
    <row r="396" spans="2:26" s="35" customFormat="1" x14ac:dyDescent="0.25">
      <c r="B396" s="50"/>
      <c r="C396" s="50"/>
      <c r="D396" s="48"/>
      <c r="E396" s="51"/>
      <c r="J396" s="39"/>
      <c r="K396" s="39"/>
      <c r="N396" s="39"/>
      <c r="R396" s="40"/>
      <c r="S396" s="40"/>
      <c r="T396" s="40"/>
      <c r="U396" s="40"/>
      <c r="V396" s="40"/>
      <c r="W396" s="40"/>
      <c r="X396" s="40"/>
      <c r="Y396" s="40"/>
      <c r="Z396" s="39"/>
    </row>
    <row r="397" spans="2:26" s="35" customFormat="1" x14ac:dyDescent="0.25">
      <c r="B397" s="50"/>
      <c r="C397" s="50"/>
      <c r="D397" s="48"/>
      <c r="E397" s="51"/>
      <c r="J397" s="39"/>
      <c r="K397" s="39"/>
      <c r="N397" s="39"/>
      <c r="R397" s="40"/>
      <c r="S397" s="40"/>
      <c r="T397" s="40"/>
      <c r="U397" s="40"/>
      <c r="V397" s="40"/>
      <c r="W397" s="40"/>
      <c r="X397" s="40"/>
      <c r="Y397" s="40"/>
      <c r="Z397" s="39"/>
    </row>
    <row r="398" spans="2:26" s="35" customFormat="1" x14ac:dyDescent="0.25">
      <c r="B398" s="50"/>
      <c r="C398" s="50"/>
      <c r="D398" s="48"/>
      <c r="E398" s="51"/>
      <c r="J398" s="39"/>
      <c r="K398" s="39"/>
      <c r="N398" s="39"/>
      <c r="R398" s="40"/>
      <c r="S398" s="40"/>
      <c r="T398" s="40"/>
      <c r="U398" s="40"/>
      <c r="V398" s="40"/>
      <c r="W398" s="40"/>
      <c r="X398" s="40"/>
      <c r="Y398" s="40"/>
      <c r="Z398" s="39"/>
    </row>
    <row r="399" spans="2:26" s="35" customFormat="1" x14ac:dyDescent="0.25">
      <c r="B399" s="50"/>
      <c r="C399" s="50"/>
      <c r="D399" s="48"/>
      <c r="E399" s="51"/>
      <c r="J399" s="39"/>
      <c r="K399" s="39"/>
      <c r="N399" s="39"/>
      <c r="R399" s="40"/>
      <c r="S399" s="40"/>
      <c r="T399" s="40"/>
      <c r="U399" s="40"/>
      <c r="V399" s="40"/>
      <c r="W399" s="40"/>
      <c r="X399" s="40"/>
      <c r="Y399" s="40"/>
      <c r="Z399" s="39"/>
    </row>
    <row r="400" spans="2:26" s="35" customFormat="1" x14ac:dyDescent="0.25">
      <c r="B400" s="50"/>
      <c r="C400" s="50"/>
      <c r="D400" s="48"/>
      <c r="E400" s="51"/>
      <c r="J400" s="39"/>
      <c r="K400" s="39"/>
      <c r="N400" s="39"/>
      <c r="R400" s="40"/>
      <c r="S400" s="40"/>
      <c r="T400" s="40"/>
      <c r="U400" s="40"/>
      <c r="V400" s="40"/>
      <c r="W400" s="40"/>
      <c r="X400" s="40"/>
      <c r="Y400" s="40"/>
      <c r="Z400" s="39"/>
    </row>
    <row r="401" spans="2:26" s="35" customFormat="1" x14ac:dyDescent="0.25">
      <c r="B401" s="50"/>
      <c r="C401" s="50"/>
      <c r="D401" s="48"/>
      <c r="E401" s="51"/>
      <c r="J401" s="39"/>
      <c r="K401" s="39"/>
      <c r="N401" s="39"/>
      <c r="R401" s="40"/>
      <c r="S401" s="40"/>
      <c r="T401" s="40"/>
      <c r="U401" s="40"/>
      <c r="V401" s="40"/>
      <c r="W401" s="40"/>
      <c r="X401" s="40"/>
      <c r="Y401" s="40"/>
      <c r="Z401" s="39"/>
    </row>
    <row r="402" spans="2:26" s="35" customFormat="1" x14ac:dyDescent="0.25">
      <c r="B402" s="50"/>
      <c r="C402" s="50"/>
      <c r="D402" s="48"/>
      <c r="E402" s="51"/>
      <c r="J402" s="39"/>
      <c r="K402" s="39"/>
      <c r="N402" s="39"/>
      <c r="R402" s="40"/>
      <c r="S402" s="40"/>
      <c r="T402" s="40"/>
      <c r="U402" s="40"/>
      <c r="V402" s="40"/>
      <c r="W402" s="40"/>
      <c r="X402" s="40"/>
      <c r="Y402" s="40"/>
      <c r="Z402" s="39"/>
    </row>
    <row r="403" spans="2:26" s="35" customFormat="1" x14ac:dyDescent="0.25">
      <c r="B403" s="50"/>
      <c r="C403" s="50"/>
      <c r="D403" s="48"/>
      <c r="E403" s="51"/>
      <c r="J403" s="39"/>
      <c r="K403" s="39"/>
      <c r="N403" s="39"/>
      <c r="R403" s="40"/>
      <c r="S403" s="40"/>
      <c r="T403" s="40"/>
      <c r="U403" s="40"/>
      <c r="V403" s="40"/>
      <c r="W403" s="40"/>
      <c r="X403" s="40"/>
      <c r="Y403" s="40"/>
      <c r="Z403" s="39"/>
    </row>
    <row r="404" spans="2:26" s="35" customFormat="1" x14ac:dyDescent="0.25">
      <c r="B404" s="50"/>
      <c r="C404" s="50"/>
      <c r="D404" s="48"/>
      <c r="E404" s="51"/>
      <c r="J404" s="39"/>
      <c r="K404" s="39"/>
      <c r="N404" s="39"/>
      <c r="R404" s="40"/>
      <c r="S404" s="40"/>
      <c r="T404" s="40"/>
      <c r="U404" s="40"/>
      <c r="V404" s="40"/>
      <c r="W404" s="40"/>
      <c r="X404" s="40"/>
      <c r="Y404" s="40"/>
      <c r="Z404" s="39"/>
    </row>
    <row r="405" spans="2:26" s="35" customFormat="1" x14ac:dyDescent="0.25">
      <c r="B405" s="50"/>
      <c r="C405" s="50"/>
      <c r="D405" s="48"/>
      <c r="E405" s="51"/>
      <c r="J405" s="39"/>
      <c r="K405" s="39"/>
      <c r="N405" s="39"/>
      <c r="R405" s="40"/>
      <c r="S405" s="40"/>
      <c r="T405" s="40"/>
      <c r="U405" s="40"/>
      <c r="V405" s="40"/>
      <c r="W405" s="40"/>
      <c r="X405" s="40"/>
      <c r="Y405" s="40"/>
      <c r="Z405" s="39"/>
    </row>
    <row r="406" spans="2:26" s="35" customFormat="1" x14ac:dyDescent="0.25">
      <c r="B406" s="50"/>
      <c r="C406" s="50"/>
      <c r="D406" s="48"/>
      <c r="E406" s="51"/>
      <c r="J406" s="39"/>
      <c r="K406" s="39"/>
      <c r="N406" s="39"/>
      <c r="R406" s="40"/>
      <c r="S406" s="40"/>
      <c r="T406" s="40"/>
      <c r="U406" s="40"/>
      <c r="V406" s="40"/>
      <c r="W406" s="40"/>
      <c r="X406" s="40"/>
      <c r="Y406" s="40"/>
      <c r="Z406" s="39"/>
    </row>
    <row r="407" spans="2:26" s="35" customFormat="1" ht="17.25" customHeight="1" x14ac:dyDescent="0.25">
      <c r="B407" s="50" t="s">
        <v>229</v>
      </c>
      <c r="C407" s="50"/>
      <c r="D407" s="48"/>
      <c r="E407" s="51"/>
      <c r="J407" s="39"/>
      <c r="K407" s="39"/>
      <c r="N407" s="39"/>
      <c r="R407" s="40"/>
      <c r="S407" s="40"/>
      <c r="T407" s="40"/>
      <c r="U407" s="40"/>
      <c r="V407" s="40"/>
      <c r="W407" s="40"/>
      <c r="X407" s="40"/>
      <c r="Y407" s="40"/>
      <c r="Z407" s="39"/>
    </row>
    <row r="408" spans="2:26" s="35" customFormat="1" ht="17.25" customHeight="1" x14ac:dyDescent="0.25">
      <c r="B408" s="50" t="s">
        <v>230</v>
      </c>
      <c r="C408" s="50"/>
      <c r="D408" s="48"/>
      <c r="E408" s="51"/>
      <c r="J408" s="39"/>
      <c r="K408" s="39"/>
      <c r="N408" s="39"/>
      <c r="R408" s="40"/>
      <c r="S408" s="40"/>
      <c r="T408" s="40"/>
      <c r="U408" s="40"/>
      <c r="V408" s="40"/>
      <c r="W408" s="40"/>
      <c r="X408" s="40"/>
      <c r="Y408" s="40"/>
      <c r="Z408" s="39"/>
    </row>
    <row r="409" spans="2:26" x14ac:dyDescent="0.25">
      <c r="B409" s="52" t="s">
        <v>231</v>
      </c>
    </row>
    <row r="410" spans="2:26" ht="20.25" customHeight="1" x14ac:dyDescent="0.25">
      <c r="B410" s="276" t="str">
        <f>("Un detalle de las  "&amp;B409&amp;" al "&amp;[1]BALANZA!$B$3&amp;" "&amp;[1]BALANZA!$C$3&amp;" es como se detalla a continuación:")</f>
        <v>Un detalle de las  Acumulaciones por pagar al 30 de junio del 2025 - 2024 es como se detalla a continuación:</v>
      </c>
      <c r="C410" s="277"/>
      <c r="D410" s="277"/>
      <c r="E410" s="277"/>
    </row>
    <row r="411" spans="2:26" ht="36" customHeight="1" x14ac:dyDescent="0.25">
      <c r="B411" s="271" t="str">
        <f>("Las acumulaciones por pagar para el "&amp;C413&amp;" el total era RD$ "&amp;R417&amp;" y para el "&amp;D413&amp;" el total fue de RD$ "&amp;R418&amp;" , Según el siguiente detalle:")</f>
        <v>Las acumulaciones por pagar para el 2025 el total era RD$ 0,0 y para el 2024 el total fue de RD$ 252,299.30 , Según el siguiente detalle:</v>
      </c>
      <c r="C411" s="271"/>
      <c r="D411" s="271"/>
      <c r="E411" s="271"/>
    </row>
    <row r="412" spans="2:26" ht="9" customHeight="1" x14ac:dyDescent="0.25">
      <c r="B412" s="282"/>
      <c r="C412" s="282"/>
      <c r="D412" s="282"/>
      <c r="E412" s="282"/>
    </row>
    <row r="413" spans="2:26" x14ac:dyDescent="0.25">
      <c r="B413" s="180" t="s">
        <v>218</v>
      </c>
      <c r="C413" s="165">
        <f>+C139</f>
        <v>2025</v>
      </c>
      <c r="D413" s="165">
        <f>+D139</f>
        <v>2024</v>
      </c>
      <c r="E413" s="181" t="s">
        <v>219</v>
      </c>
    </row>
    <row r="414" spans="2:26" x14ac:dyDescent="0.25">
      <c r="B414" s="146" t="s">
        <v>232</v>
      </c>
      <c r="C414" s="79">
        <f>+'[1]BALANZA G'!C114+'[1]BALANZA G'!C115</f>
        <v>0</v>
      </c>
      <c r="D414" s="79">
        <f>+'[1]BALANZA G'!D114+'[1]BALANZA G'!D115</f>
        <v>252299.3</v>
      </c>
      <c r="E414" s="34">
        <f>+C414-D414</f>
        <v>-252299.3</v>
      </c>
    </row>
    <row r="415" spans="2:26" ht="14.25" customHeight="1" x14ac:dyDescent="0.25">
      <c r="B415" s="146" t="s">
        <v>233</v>
      </c>
      <c r="C415" s="79">
        <f>+'[1]BALANZA G'!C104+'[1]BALANZA G'!C105</f>
        <v>0</v>
      </c>
      <c r="D415" s="79">
        <f>+'[1]BALANZA G'!D104+'[1]BALANZA G'!D105</f>
        <v>0</v>
      </c>
      <c r="E415" s="34">
        <f>+C415-D415</f>
        <v>0</v>
      </c>
    </row>
    <row r="416" spans="2:26" hidden="1" x14ac:dyDescent="0.25">
      <c r="B416" s="146"/>
      <c r="C416" s="79"/>
      <c r="D416" s="79"/>
      <c r="E416" s="34"/>
    </row>
    <row r="417" spans="2:26" x14ac:dyDescent="0.25">
      <c r="B417" s="180" t="s">
        <v>234</v>
      </c>
      <c r="C417" s="183">
        <f>SUM(C414:C416)</f>
        <v>0</v>
      </c>
      <c r="D417" s="183">
        <f>SUM(D414:D416)</f>
        <v>252299.3</v>
      </c>
      <c r="E417" s="183">
        <f>SUM(E414:E416)</f>
        <v>-252299.3</v>
      </c>
      <c r="R417" s="3" t="str">
        <f>+CONCATENATE(T417,",",U417,"",V417,"0")</f>
        <v>0,0</v>
      </c>
      <c r="T417" s="3" t="str">
        <f>MID(C417,1,3)</f>
        <v>0</v>
      </c>
      <c r="U417" s="3" t="str">
        <f>MID(C417,4,3)</f>
        <v/>
      </c>
      <c r="V417" s="3" t="str">
        <f>MID(C417,7,3)</f>
        <v/>
      </c>
    </row>
    <row r="418" spans="2:26" ht="10.5" customHeight="1" x14ac:dyDescent="0.25">
      <c r="B418" s="184"/>
      <c r="C418" s="82">
        <f>+C417-'[1]ES F '!B36+C434</f>
        <v>0</v>
      </c>
      <c r="D418" s="186"/>
      <c r="R418" s="3" t="str">
        <f>+CONCATENATE(S418,",",T418,U418,V418,AB418,"0")</f>
        <v>252,299.30</v>
      </c>
      <c r="S418" s="3" t="str">
        <f>MID(D417,1,3)</f>
        <v>252</v>
      </c>
      <c r="T418" s="3" t="str">
        <f>MID(D417,4,3)</f>
        <v>299</v>
      </c>
      <c r="U418" s="3" t="str">
        <f>MID(D417,7,3)</f>
        <v>.3</v>
      </c>
    </row>
    <row r="419" spans="2:26" s="35" customFormat="1" x14ac:dyDescent="0.25">
      <c r="B419" s="272" t="str">
        <f>("Cambio porcentual con relación al "&amp;$D$117&amp;".")</f>
        <v>Cambio porcentual con relación al 2024.</v>
      </c>
      <c r="C419" s="273"/>
      <c r="D419" s="45" t="str">
        <f>IF(E419&gt;=0,"Aumento","Disminución")</f>
        <v>Disminución</v>
      </c>
      <c r="E419" s="76">
        <f>+E417/D417</f>
        <v>-1</v>
      </c>
      <c r="J419" s="39"/>
      <c r="K419" s="39"/>
      <c r="N419" s="39"/>
      <c r="R419" s="40"/>
      <c r="S419" s="40"/>
      <c r="T419" s="40"/>
      <c r="U419" s="40"/>
      <c r="V419" s="40"/>
      <c r="W419" s="40"/>
      <c r="X419" s="40"/>
      <c r="Y419" s="40"/>
      <c r="Z419" s="39"/>
    </row>
    <row r="420" spans="2:26" s="35" customFormat="1" ht="6" customHeight="1" x14ac:dyDescent="0.25">
      <c r="B420" s="50"/>
      <c r="C420" s="50"/>
      <c r="D420" s="48"/>
      <c r="E420" s="51"/>
      <c r="J420" s="39"/>
      <c r="K420" s="39"/>
      <c r="N420" s="39"/>
      <c r="R420" s="40"/>
      <c r="S420" s="40"/>
      <c r="T420" s="40"/>
      <c r="U420" s="40"/>
      <c r="V420" s="40"/>
      <c r="W420" s="40"/>
      <c r="X420" s="40"/>
      <c r="Y420" s="40"/>
      <c r="Z420" s="39"/>
    </row>
    <row r="421" spans="2:26" ht="14.25" customHeight="1" x14ac:dyDescent="0.25">
      <c r="B421" s="52" t="s">
        <v>235</v>
      </c>
      <c r="C421" s="187"/>
      <c r="D421" s="187"/>
      <c r="E421" s="187"/>
    </row>
    <row r="422" spans="2:26" ht="24.75" customHeight="1" x14ac:dyDescent="0.25">
      <c r="B422" s="276" t="str">
        <f>("Un detalle de las "&amp;B421&amp;" al "&amp;[1]BALANZA!$B$3&amp;" "&amp;[1]BALANZA!$C$3&amp;" es como se detalla a continuación:")</f>
        <v>Un detalle de las Retenciones por pagar al 30 de junio del 2025 - 2024 es como se detalla a continuación:</v>
      </c>
      <c r="C422" s="277"/>
      <c r="D422" s="277"/>
      <c r="E422" s="277"/>
    </row>
    <row r="423" spans="2:26" ht="29.25" customHeight="1" x14ac:dyDescent="0.25">
      <c r="B423" s="271" t="str">
        <f>("Las  retenciones impositivas  por pagar  para el "&amp;C426&amp;" el total era RD$ "&amp;R434&amp;" y para el "&amp;D426&amp;" el total fue de RD$ "&amp;R435&amp;" , Según el siguiente detalle:")</f>
        <v>Las  retenciones impositivas  por pagar  para el 2025 el total era RD$ 128,249.85 y para el 2024 el total fue de RD$ 272,262.91 , Según el siguiente detalle:</v>
      </c>
      <c r="C423" s="271"/>
      <c r="D423" s="271"/>
      <c r="E423" s="271"/>
    </row>
    <row r="424" spans="2:26" ht="6" customHeight="1" x14ac:dyDescent="0.25">
      <c r="B424" s="52"/>
      <c r="C424" s="187"/>
      <c r="D424" s="187"/>
      <c r="E424" s="187"/>
    </row>
    <row r="425" spans="2:26" ht="9.75" customHeight="1" x14ac:dyDescent="0.25">
      <c r="B425" s="52"/>
      <c r="C425" s="187"/>
      <c r="D425" s="187"/>
      <c r="E425" s="187"/>
    </row>
    <row r="426" spans="2:26" x14ac:dyDescent="0.25">
      <c r="B426" s="180" t="s">
        <v>218</v>
      </c>
      <c r="C426" s="165">
        <f>+C413</f>
        <v>2025</v>
      </c>
      <c r="D426" s="165">
        <f>+D413</f>
        <v>2024</v>
      </c>
      <c r="E426" s="190" t="s">
        <v>219</v>
      </c>
    </row>
    <row r="427" spans="2:26" hidden="1" x14ac:dyDescent="0.25">
      <c r="B427" s="103" t="s">
        <v>236</v>
      </c>
      <c r="C427" s="70">
        <f>+'[1]BALANZA G'!C94</f>
        <v>0</v>
      </c>
      <c r="D427" s="79">
        <f>+'[1]BALANZA G'!D94</f>
        <v>0</v>
      </c>
      <c r="E427" s="69">
        <f>+C427-D427</f>
        <v>0</v>
      </c>
    </row>
    <row r="428" spans="2:26" hidden="1" x14ac:dyDescent="0.25">
      <c r="B428" s="103" t="s">
        <v>237</v>
      </c>
      <c r="C428" s="70">
        <f>+'[1]BALANZA G'!C96</f>
        <v>0</v>
      </c>
      <c r="D428" s="79">
        <f>+'[1]BALANZA G'!D96</f>
        <v>0</v>
      </c>
      <c r="E428" s="69">
        <f t="shared" ref="E428:E433" si="2">+C428-D428</f>
        <v>0</v>
      </c>
    </row>
    <row r="429" spans="2:26" ht="15.75" customHeight="1" x14ac:dyDescent="0.25">
      <c r="B429" s="103" t="s">
        <v>238</v>
      </c>
      <c r="C429" s="70">
        <f>+'[1]BALANZA G'!C97</f>
        <v>0</v>
      </c>
      <c r="D429" s="79">
        <v>172.63</v>
      </c>
      <c r="E429" s="69">
        <f t="shared" si="2"/>
        <v>-172.63</v>
      </c>
    </row>
    <row r="430" spans="2:26" x14ac:dyDescent="0.25">
      <c r="B430" s="103" t="s">
        <v>239</v>
      </c>
      <c r="C430" s="70">
        <f>+'[1]BALANZA G'!C98</f>
        <v>0</v>
      </c>
      <c r="D430" s="79">
        <v>0</v>
      </c>
      <c r="E430" s="69">
        <f t="shared" si="2"/>
        <v>0</v>
      </c>
    </row>
    <row r="431" spans="2:26" x14ac:dyDescent="0.25">
      <c r="B431" s="103" t="s">
        <v>240</v>
      </c>
      <c r="C431" s="70">
        <f>+'[1]BALANZA G'!C99</f>
        <v>56304.6</v>
      </c>
      <c r="D431" s="79">
        <v>0.01</v>
      </c>
      <c r="E431" s="69">
        <f t="shared" si="2"/>
        <v>56304.59</v>
      </c>
    </row>
    <row r="432" spans="2:26" x14ac:dyDescent="0.25">
      <c r="B432" s="103" t="s">
        <v>241</v>
      </c>
      <c r="C432" s="70">
        <f>+'[1]BALANZA G'!C100+'[1]BALANZA G'!C95</f>
        <v>0</v>
      </c>
      <c r="D432" s="70">
        <v>3605.1</v>
      </c>
      <c r="E432" s="69">
        <f t="shared" si="2"/>
        <v>-3605.1</v>
      </c>
    </row>
    <row r="433" spans="2:28" x14ac:dyDescent="0.25">
      <c r="B433" s="103" t="s">
        <v>242</v>
      </c>
      <c r="C433" s="70">
        <f>+'[1]BALANZA G'!C101</f>
        <v>71945.25</v>
      </c>
      <c r="D433" s="79">
        <v>268485.17</v>
      </c>
      <c r="E433" s="69">
        <f t="shared" si="2"/>
        <v>-196539.91999999998</v>
      </c>
    </row>
    <row r="434" spans="2:28" x14ac:dyDescent="0.25">
      <c r="B434" s="180" t="s">
        <v>243</v>
      </c>
      <c r="C434" s="108">
        <f>SUM(C427:C433)</f>
        <v>128249.85</v>
      </c>
      <c r="D434" s="183">
        <f>SUM(D427:D433)</f>
        <v>272262.90999999997</v>
      </c>
      <c r="E434" s="108">
        <f>SUM(E427:E433)</f>
        <v>-144013.06</v>
      </c>
      <c r="R434" s="3" t="str">
        <f>+CONCATENATE(T434,",",U434,"",V434,AB434)</f>
        <v>128,249.85</v>
      </c>
      <c r="T434" s="3" t="str">
        <f>MID(C434,1,3)</f>
        <v>128</v>
      </c>
      <c r="U434" s="3" t="str">
        <f>MID(C434,4,3)</f>
        <v>249</v>
      </c>
      <c r="V434" s="3" t="str">
        <f>MID(C434,7,3)</f>
        <v>.85</v>
      </c>
      <c r="Z434" s="1"/>
      <c r="AA434" s="1" t="str">
        <f>MID(H434,7,3)</f>
        <v/>
      </c>
      <c r="AB434" s="1" t="str">
        <f>MID(C434,10,3)</f>
        <v/>
      </c>
    </row>
    <row r="435" spans="2:28" ht="6" customHeight="1" x14ac:dyDescent="0.25">
      <c r="B435" s="184"/>
      <c r="C435" s="82">
        <f>+C434-'[1]ES F '!B36+C417</f>
        <v>0</v>
      </c>
      <c r="D435" s="186"/>
      <c r="R435" s="3" t="str">
        <f>+CONCATENATE(S435,,T435,",",U435,V435,AB435)</f>
        <v>272,262.91</v>
      </c>
      <c r="T435" s="3" t="str">
        <f>MID(D434,1,3)</f>
        <v>272</v>
      </c>
      <c r="U435" s="3" t="str">
        <f>MID(D434,4,3)</f>
        <v>262</v>
      </c>
      <c r="V435" s="3" t="str">
        <f>MID(D434,7,3)</f>
        <v>.91</v>
      </c>
      <c r="W435" s="3" t="str">
        <f>MID(H434,1,3)</f>
        <v/>
      </c>
      <c r="X435" s="3" t="str">
        <f>MID(I434,1,3)</f>
        <v/>
      </c>
      <c r="Y435" s="3" t="str">
        <f>MID(J434,1,3)</f>
        <v/>
      </c>
      <c r="Z435" s="1"/>
      <c r="AA435" s="1" t="str">
        <f>MID(L434,1,3)</f>
        <v/>
      </c>
      <c r="AB435" s="1" t="str">
        <f>MID(D434,11,3)</f>
        <v/>
      </c>
    </row>
    <row r="436" spans="2:28" ht="14.25" customHeight="1" x14ac:dyDescent="0.25">
      <c r="B436" s="272" t="str">
        <f>("Cambio porcentual con relación al "&amp;$D$117&amp;".")</f>
        <v>Cambio porcentual con relación al 2024.</v>
      </c>
      <c r="C436" s="273"/>
      <c r="D436" s="45" t="str">
        <f>IF(E436&gt;=0,"Aumento","Disminución")</f>
        <v>Disminución</v>
      </c>
      <c r="E436" s="76">
        <f>+E434/D434</f>
        <v>-0.52894850789628312</v>
      </c>
    </row>
    <row r="437" spans="2:28" ht="7.5" customHeight="1" x14ac:dyDescent="0.25">
      <c r="B437" s="187"/>
      <c r="C437" s="187"/>
      <c r="D437" s="187"/>
      <c r="E437" s="187"/>
    </row>
    <row r="438" spans="2:28" ht="16.5" customHeight="1" x14ac:dyDescent="0.25">
      <c r="B438" s="191" t="s">
        <v>244</v>
      </c>
      <c r="C438" s="192">
        <f>+C434+C417</f>
        <v>128249.85</v>
      </c>
      <c r="D438" s="192">
        <f>+D434+D417</f>
        <v>524562.21</v>
      </c>
      <c r="E438" s="108">
        <f>SUM(E431:E437)</f>
        <v>-287854.0189485079</v>
      </c>
    </row>
    <row r="439" spans="2:28" ht="14.25" customHeight="1" x14ac:dyDescent="0.25">
      <c r="B439" s="187"/>
      <c r="C439" s="187"/>
      <c r="D439" s="187"/>
      <c r="E439" s="187"/>
    </row>
    <row r="440" spans="2:28" ht="14.25" customHeight="1" x14ac:dyDescent="0.25">
      <c r="B440" s="52" t="s">
        <v>245</v>
      </c>
      <c r="C440" s="187"/>
      <c r="D440" s="187"/>
      <c r="E440" s="187"/>
    </row>
    <row r="441" spans="2:28" ht="19.5" customHeight="1" x14ac:dyDescent="0.25">
      <c r="B441" s="52" t="s">
        <v>246</v>
      </c>
      <c r="C441" s="187"/>
      <c r="D441" s="83"/>
      <c r="E441" s="187"/>
    </row>
    <row r="442" spans="2:28" ht="26.25" customHeight="1" x14ac:dyDescent="0.25">
      <c r="B442" s="276" t="str">
        <f>("Un detalle del "&amp;B441&amp;" al "&amp;[1]BALANZA!$B$3&amp;" "&amp;[1]BALANZA!$C$3&amp;" es como se detalla a continuación:")</f>
        <v>Un detalle del Activos Netos/Patrimonio al 30 de junio del 2025 - 2024 es como se detalla a continuación:</v>
      </c>
      <c r="C442" s="277"/>
      <c r="D442" s="277"/>
      <c r="E442" s="277"/>
    </row>
    <row r="443" spans="2:28" ht="38.25" customHeight="1" x14ac:dyDescent="0.25">
      <c r="B443" s="279" t="str">
        <f>("El patrimonio institucional  para el "&amp;C445&amp;" tenia monto por RD$ "&amp;R450&amp;" y para el "&amp;D445&amp;" el monto fue de RD$ "&amp;R451&amp;" y está conformado con las siguientes partidas: ")</f>
        <v xml:space="preserve">El patrimonio institucional  para el 2025 tenia monto por RD$ 1,099,677,419.06 y para el 2024 el monto fue de RD$ 1,054,567,516.06 y está conformado con las siguientes partidas: </v>
      </c>
      <c r="C443" s="271"/>
      <c r="D443" s="271"/>
      <c r="E443" s="271"/>
    </row>
    <row r="444" spans="2:28" ht="9.75" customHeight="1" x14ac:dyDescent="0.25">
      <c r="B444" s="10"/>
    </row>
    <row r="445" spans="2:28" x14ac:dyDescent="0.25">
      <c r="B445" s="180" t="s">
        <v>218</v>
      </c>
      <c r="C445" s="23">
        <f>+C590</f>
        <v>2025</v>
      </c>
      <c r="D445" s="23">
        <f>+D590</f>
        <v>2024</v>
      </c>
      <c r="E445" s="190" t="s">
        <v>219</v>
      </c>
    </row>
    <row r="446" spans="2:28" x14ac:dyDescent="0.25">
      <c r="B446" s="193" t="s">
        <v>247</v>
      </c>
      <c r="C446" s="194">
        <f>+'[1]BALANZA G'!C127</f>
        <v>808793054.60000002</v>
      </c>
      <c r="D446" s="194">
        <f>+'[1]BALANZA G'!D127</f>
        <v>808793054.60000002</v>
      </c>
      <c r="E446" s="34">
        <f>+C446-D446</f>
        <v>0</v>
      </c>
      <c r="G446" s="195"/>
      <c r="U446" s="196"/>
    </row>
    <row r="447" spans="2:28" x14ac:dyDescent="0.25">
      <c r="B447" s="193" t="s">
        <v>248</v>
      </c>
      <c r="C447" s="197">
        <v>277803499.63999999</v>
      </c>
      <c r="D447" s="197">
        <v>236147019.97999999</v>
      </c>
      <c r="E447" s="34">
        <f>+C447-D447</f>
        <v>41656479.659999996</v>
      </c>
      <c r="G447" s="195"/>
      <c r="I447" s="78"/>
      <c r="U447" s="196"/>
    </row>
    <row r="448" spans="2:28" x14ac:dyDescent="0.25">
      <c r="B448" s="27" t="s">
        <v>249</v>
      </c>
      <c r="C448" s="197">
        <f>+[1]BALANZA!B6</f>
        <v>1485895.3399999999</v>
      </c>
      <c r="D448" s="197">
        <v>0</v>
      </c>
      <c r="E448" s="34">
        <f>+C448-D448</f>
        <v>1485895.3399999999</v>
      </c>
      <c r="G448" s="195"/>
      <c r="I448" s="78"/>
      <c r="U448" s="196"/>
      <c r="Z448" s="1"/>
    </row>
    <row r="449" spans="2:27" x14ac:dyDescent="0.25">
      <c r="B449" s="27" t="s">
        <v>250</v>
      </c>
      <c r="C449" s="197">
        <f>+[1]ERF!B35</f>
        <v>11594969.480000019</v>
      </c>
      <c r="D449" s="197">
        <v>9627441.4799999893</v>
      </c>
      <c r="E449" s="34">
        <f>+C449-D449</f>
        <v>1967528.0000000298</v>
      </c>
      <c r="G449" s="195"/>
      <c r="I449" s="78"/>
      <c r="U449" s="196"/>
      <c r="Z449" s="39"/>
    </row>
    <row r="450" spans="2:27" x14ac:dyDescent="0.25">
      <c r="B450" s="71" t="s">
        <v>251</v>
      </c>
      <c r="C450" s="198">
        <f>SUM(C446:C449)</f>
        <v>1099677419.0599999</v>
      </c>
      <c r="D450" s="198">
        <f>SUM(D446:D449)</f>
        <v>1054567516.0600001</v>
      </c>
      <c r="E450" s="198">
        <f>SUM(E446:E449)</f>
        <v>45109903.00000003</v>
      </c>
      <c r="I450" s="78"/>
      <c r="R450" s="3" t="str">
        <f>+CONCATENATE(S450,",",T450,",",U450,",",V450,W450)</f>
        <v>1,099,677,419.06</v>
      </c>
      <c r="S450" s="3" t="str">
        <f>MID(C450,1,1)</f>
        <v>1</v>
      </c>
      <c r="T450" s="3" t="str">
        <f>MID(C450,2,3)</f>
        <v>099</v>
      </c>
      <c r="U450" s="3" t="str">
        <f>MID(C450,5,3)</f>
        <v>677</v>
      </c>
      <c r="V450" s="3" t="str">
        <f>MID(C450,8,3)</f>
        <v>419</v>
      </c>
      <c r="W450" s="3" t="str">
        <f>MID(C450,11,3)</f>
        <v>.06</v>
      </c>
      <c r="Z450" s="1"/>
      <c r="AA450" s="1" t="str">
        <f>MID(H450,7,3)</f>
        <v/>
      </c>
    </row>
    <row r="451" spans="2:27" x14ac:dyDescent="0.25">
      <c r="B451" s="199"/>
      <c r="C451" s="200">
        <f>+C450-'[1]ES F '!B60</f>
        <v>0</v>
      </c>
      <c r="D451" s="200">
        <f>+D450-'[1]ES F '!C60</f>
        <v>0</v>
      </c>
      <c r="E451" s="201"/>
      <c r="R451" s="3" t="str">
        <f>+CONCATENATE(S451,",",T451,",",U451,",",V451,W451)</f>
        <v>1,054,567,516.06</v>
      </c>
      <c r="S451" s="3" t="str">
        <f>MID(D450,1,1)</f>
        <v>1</v>
      </c>
      <c r="T451" s="3" t="str">
        <f>MID(D450,2,3)</f>
        <v>054</v>
      </c>
      <c r="U451" s="3" t="str">
        <f>MID(D450,5,3)</f>
        <v>567</v>
      </c>
      <c r="V451" s="3" t="str">
        <f>MID(D450,8,3)</f>
        <v>516</v>
      </c>
      <c r="W451" s="3" t="str">
        <f>MID(D450,11,3)</f>
        <v>.06</v>
      </c>
      <c r="X451" s="3" t="str">
        <f>MID(I450,1,3)</f>
        <v/>
      </c>
      <c r="AA451" s="1" t="str">
        <f>MID(L450,1,3)</f>
        <v/>
      </c>
    </row>
    <row r="452" spans="2:27" s="35" customFormat="1" x14ac:dyDescent="0.25">
      <c r="B452" s="272" t="str">
        <f>("Cambio porcentual con relación al "&amp;$D$117&amp;".")</f>
        <v>Cambio porcentual con relación al 2024.</v>
      </c>
      <c r="C452" s="273"/>
      <c r="D452" s="45" t="str">
        <f>IF(E452&gt;=0,"Aumento","Disminución")</f>
        <v>Aumento</v>
      </c>
      <c r="E452" s="76">
        <f>+E450/D450</f>
        <v>4.2775737269564712E-2</v>
      </c>
      <c r="J452" s="39"/>
      <c r="K452" s="39"/>
      <c r="N452" s="39"/>
      <c r="R452" s="40"/>
      <c r="S452" s="40"/>
      <c r="T452" s="40"/>
      <c r="U452" s="40"/>
      <c r="V452" s="40"/>
      <c r="W452" s="40"/>
      <c r="X452" s="40"/>
      <c r="Y452" s="40"/>
    </row>
    <row r="453" spans="2:27" ht="21" customHeight="1" x14ac:dyDescent="0.25">
      <c r="B453" s="281" t="s">
        <v>252</v>
      </c>
      <c r="C453" s="281"/>
      <c r="D453" s="281"/>
      <c r="E453" s="281"/>
    </row>
    <row r="454" spans="2:27" ht="21" customHeight="1" x14ac:dyDescent="0.25">
      <c r="B454" s="202"/>
      <c r="C454" s="202"/>
      <c r="D454" s="202"/>
      <c r="E454" s="202"/>
    </row>
    <row r="455" spans="2:27" ht="31.5" customHeight="1" x14ac:dyDescent="0.25">
      <c r="B455" s="202"/>
      <c r="C455" s="202"/>
      <c r="D455" s="202"/>
      <c r="E455" s="202"/>
    </row>
    <row r="456" spans="2:27" ht="12" customHeight="1" x14ac:dyDescent="0.25">
      <c r="B456" s="202"/>
      <c r="C456" s="202"/>
      <c r="D456" s="202"/>
      <c r="E456" s="202"/>
    </row>
    <row r="457" spans="2:27" ht="12" customHeight="1" x14ac:dyDescent="0.25">
      <c r="B457" s="202"/>
      <c r="C457" s="202"/>
      <c r="D457" s="202"/>
      <c r="E457" s="202"/>
    </row>
    <row r="458" spans="2:27" ht="12" customHeight="1" x14ac:dyDescent="0.25">
      <c r="B458" s="77"/>
    </row>
    <row r="459" spans="2:27" ht="13.5" customHeight="1" x14ac:dyDescent="0.25">
      <c r="B459" s="52" t="s">
        <v>253</v>
      </c>
    </row>
    <row r="460" spans="2:27" x14ac:dyDescent="0.25">
      <c r="B460" s="52" t="s">
        <v>254</v>
      </c>
    </row>
    <row r="461" spans="2:27" ht="39.75" customHeight="1" x14ac:dyDescent="0.25">
      <c r="B461" s="276" t="str">
        <f>("Un detalle del "&amp;B460&amp;" al "&amp;[1]BALANZA!$B$3&amp;" "&amp;[1]BALANZA!$C$3&amp;" es como se detalla a continuación:")</f>
        <v>Un detalle del Ingresos por transacciones con contraprestaciones al 30 de junio del 2025 - 2024 es como se detalla a continuación:</v>
      </c>
      <c r="C461" s="277"/>
      <c r="D461" s="277"/>
      <c r="E461" s="277"/>
    </row>
    <row r="462" spans="2:27" ht="42.75" customHeight="1" x14ac:dyDescent="0.25">
      <c r="B462" s="279" t="str">
        <f>("Los ingresos recibidos por cobros de  servicios de aguas potable y saneamiento (APS) para en el  "&amp;C465&amp;" es RD$ "&amp;R468&amp;" y del "&amp;D465&amp;" es RD$ "&amp;R469&amp;" :")</f>
        <v>Los ingresos recibidos por cobros de  servicios de aguas potable y saneamiento (APS) para en el  2025 es RD$ 91,837,300.3 y del 2024 es RD$ 874,319,49.01 :</v>
      </c>
      <c r="C462" s="279"/>
      <c r="D462" s="279"/>
      <c r="E462" s="279"/>
    </row>
    <row r="463" spans="2:27" x14ac:dyDescent="0.25">
      <c r="B463" s="203"/>
    </row>
    <row r="464" spans="2:27" x14ac:dyDescent="0.25">
      <c r="B464" s="180"/>
      <c r="C464" s="280" t="s">
        <v>255</v>
      </c>
      <c r="D464" s="280"/>
      <c r="E464" s="204"/>
    </row>
    <row r="465" spans="2:26" x14ac:dyDescent="0.25">
      <c r="B465" s="180" t="s">
        <v>218</v>
      </c>
      <c r="C465" s="205">
        <f>+C139</f>
        <v>2025</v>
      </c>
      <c r="D465" s="205">
        <f>+D139</f>
        <v>2024</v>
      </c>
      <c r="E465" s="181" t="s">
        <v>219</v>
      </c>
    </row>
    <row r="466" spans="2:26" x14ac:dyDescent="0.25">
      <c r="B466" s="146" t="s">
        <v>256</v>
      </c>
      <c r="C466" s="206">
        <f>+'[1]BALANZA G'!C135-C467</f>
        <v>91837300.299999997</v>
      </c>
      <c r="D466" s="132">
        <v>87431949.00999999</v>
      </c>
      <c r="E466" s="69">
        <f>+C466-D466</f>
        <v>4405351.2900000066</v>
      </c>
      <c r="H466" s="78"/>
    </row>
    <row r="467" spans="2:26" x14ac:dyDescent="0.25">
      <c r="B467" s="146" t="s">
        <v>257</v>
      </c>
      <c r="C467" s="206">
        <v>0</v>
      </c>
      <c r="D467" s="206"/>
      <c r="E467" s="69">
        <f>+C467-D467</f>
        <v>0</v>
      </c>
      <c r="H467" s="78"/>
    </row>
    <row r="468" spans="2:26" ht="28.5" x14ac:dyDescent="0.25">
      <c r="B468" s="207" t="s">
        <v>258</v>
      </c>
      <c r="C468" s="208">
        <f>SUM(C466:C467)</f>
        <v>91837300.299999997</v>
      </c>
      <c r="D468" s="209">
        <f>SUM(D466:D467)</f>
        <v>87431949.00999999</v>
      </c>
      <c r="E468" s="208">
        <f>SUM(E466:E466)</f>
        <v>4405351.2900000066</v>
      </c>
      <c r="H468" s="78"/>
      <c r="R468" s="3" t="str">
        <f>+CONCATENATE(S468,",",T468,",",U468,V468,"")</f>
        <v>91,837,300.3</v>
      </c>
      <c r="S468" s="3" t="str">
        <f>MID(C468,1,2)</f>
        <v>91</v>
      </c>
      <c r="T468" s="3" t="str">
        <f>MID(C468,3,3)</f>
        <v>837</v>
      </c>
      <c r="U468" s="3" t="str">
        <f>MID(C468,6,3)</f>
        <v>300</v>
      </c>
      <c r="V468" s="3" t="str">
        <f>MID(C468,9,3)</f>
        <v>.3</v>
      </c>
    </row>
    <row r="469" spans="2:26" x14ac:dyDescent="0.25">
      <c r="B469" s="210"/>
      <c r="C469" s="211">
        <f>+C468-[1]ERF!B11-[1]ERF!B13</f>
        <v>0</v>
      </c>
      <c r="D469" s="212"/>
      <c r="E469" s="213"/>
      <c r="H469" s="78"/>
      <c r="R469" s="3" t="str">
        <f>+CONCATENATE(S469,",",T469,",",U469,V469,AB469,"")</f>
        <v>874,319,49.01</v>
      </c>
      <c r="S469" s="3" t="str">
        <f>MID(D468,1,3)</f>
        <v>874</v>
      </c>
      <c r="T469" s="3" t="str">
        <f>MID(D468,4,3)</f>
        <v>319</v>
      </c>
      <c r="U469" s="3" t="str">
        <f>MID(D468,7,3)</f>
        <v>49.</v>
      </c>
      <c r="V469" s="3" t="str">
        <f>MID(D468,10,3)</f>
        <v>01</v>
      </c>
    </row>
    <row r="470" spans="2:26" s="35" customFormat="1" x14ac:dyDescent="0.25">
      <c r="B470" s="272" t="str">
        <f>("Cambio porcentual con relación al "&amp;$D$117&amp;".")</f>
        <v>Cambio porcentual con relación al 2024.</v>
      </c>
      <c r="C470" s="273"/>
      <c r="D470" s="45" t="str">
        <f>IF(E470&gt;=0,"Aumento","Disminución")</f>
        <v>Aumento</v>
      </c>
      <c r="E470" s="76">
        <f>+E468/D468</f>
        <v>5.0386058413225424E-2</v>
      </c>
      <c r="J470" s="39"/>
      <c r="K470" s="39"/>
      <c r="N470" s="39"/>
      <c r="R470" s="40"/>
      <c r="S470" s="40"/>
      <c r="T470" s="40"/>
      <c r="U470" s="40"/>
      <c r="V470" s="40"/>
      <c r="W470" s="40"/>
      <c r="X470" s="40"/>
      <c r="Y470" s="40"/>
      <c r="Z470" s="39"/>
    </row>
    <row r="471" spans="2:26" x14ac:dyDescent="0.25">
      <c r="B471" s="77"/>
    </row>
    <row r="473" spans="2:26" x14ac:dyDescent="0.25">
      <c r="B473" s="52" t="s">
        <v>259</v>
      </c>
    </row>
    <row r="474" spans="2:26" x14ac:dyDescent="0.25">
      <c r="B474" s="52" t="s">
        <v>260</v>
      </c>
    </row>
    <row r="475" spans="2:26" ht="32.25" customHeight="1" x14ac:dyDescent="0.25">
      <c r="B475" s="276" t="str">
        <f>("Un detalle de las "&amp;B474&amp;" al "&amp;[1]BALANZA!$B$3&amp;" "&amp;[1]BALANZA!$C$3&amp;" es como se detalla a continuación:")</f>
        <v>Un detalle de las Transferencias y donaciones  al 30 de junio del 2025 - 2024 es como se detalla a continuación:</v>
      </c>
      <c r="C475" s="277"/>
      <c r="D475" s="277"/>
      <c r="E475" s="277"/>
    </row>
    <row r="476" spans="2:26" ht="61.5" customHeight="1" x14ac:dyDescent="0.25">
      <c r="B476" s="279" t="str">
        <f>("Los recursos recibidos por transferencias fueron por los montos según el siguiente detalle:  para el "&amp;C480&amp;" transferencia de para Gasto  Corrientes RD$ "&amp;R481&amp;", para Gasto de  Capital RD$ "&amp;R482&amp;" y para Energia no cortable RD$ "&amp;R483&amp;" y para el "&amp;D480&amp;" Transferencia para Gasto  Corrientes RD$ "&amp;R487&amp;", para Gasto  de Capital RD$ "&amp;R488&amp;" y para Energia no cortable RD$ "&amp;R489&amp;" ")</f>
        <v xml:space="preserve">Los recursos recibidos por transferencias fueron por los montos según el siguiente detalle:  para el 2025 transferencia de para Gasto  Corrientes RD$ 2,395,900.00, para Gasto de  Capital RD$ 50235000.00 y para Energia no cortable RD$ 2,777,191.00 y para el 2024 Transferencia para Gasto  Corrientes RD$ 282,543,59.00, para Gasto  de Capital RD$ 41,370,000 y para Energia no cortable RD$ 27,771,916.02.00 </v>
      </c>
      <c r="C476" s="279"/>
      <c r="D476" s="279"/>
      <c r="E476" s="279"/>
    </row>
    <row r="477" spans="2:26" ht="27.75" customHeight="1" x14ac:dyDescent="0.25">
      <c r="B477" s="279" t="str">
        <f>("Para el "&amp;C480&amp;" recibimos transferencia fuera del circuito para Gasto  Corrientes RD$ "&amp;R480&amp;" ")</f>
        <v xml:space="preserve">Para el 2025 recibimos transferencia fuera del circuito para Gasto  Corrientes RD$ 0,,.00 </v>
      </c>
      <c r="C477" s="279"/>
      <c r="D477" s="279"/>
      <c r="E477" s="279"/>
    </row>
    <row r="478" spans="2:26" x14ac:dyDescent="0.25">
      <c r="B478" s="10"/>
    </row>
    <row r="479" spans="2:26" x14ac:dyDescent="0.25">
      <c r="B479" s="164" t="str">
        <f>+B465</f>
        <v>Cuenta</v>
      </c>
      <c r="C479" s="280" t="s">
        <v>255</v>
      </c>
      <c r="D479" s="280"/>
      <c r="E479" s="204"/>
    </row>
    <row r="480" spans="2:26" x14ac:dyDescent="0.25">
      <c r="B480" s="164" t="s">
        <v>261</v>
      </c>
      <c r="C480" s="205">
        <f>+[1]BALANZA!B4</f>
        <v>2025</v>
      </c>
      <c r="D480" s="205">
        <f>+[1]BALANZA!C4</f>
        <v>2024</v>
      </c>
      <c r="E480" s="181" t="s">
        <v>219</v>
      </c>
      <c r="R480" s="3" t="str">
        <f>+CONCATENATE(S480,",",T480,",",U480,V480,".00")</f>
        <v>0,,.00</v>
      </c>
      <c r="S480" s="3" t="str">
        <f>MID(C484,1,1)</f>
        <v>0</v>
      </c>
      <c r="T480" s="3" t="str">
        <f>MID(C484,2,3)</f>
        <v/>
      </c>
      <c r="U480" s="3" t="str">
        <f>MID(C484,5,3)</f>
        <v/>
      </c>
    </row>
    <row r="481" spans="2:26" ht="15.75" customHeight="1" x14ac:dyDescent="0.25">
      <c r="B481" s="146" t="s">
        <v>262</v>
      </c>
      <c r="C481" s="132">
        <f>+'[1]BALANZA G'!C148+'[1]BALANZA G'!C152-C484</f>
        <v>23959002</v>
      </c>
      <c r="D481" s="132">
        <v>28254359</v>
      </c>
      <c r="E481" s="69">
        <f>+C481-D481</f>
        <v>-4295357</v>
      </c>
      <c r="R481" s="3" t="str">
        <f>+CONCATENATE(S481,",",T481,",",U481,V481,".00")</f>
        <v>2,395,900.00</v>
      </c>
      <c r="S481" s="3" t="str">
        <f>MID(C481,1,1)</f>
        <v>2</v>
      </c>
      <c r="T481" s="3" t="str">
        <f>MID(C481,2,3)</f>
        <v>395</v>
      </c>
      <c r="U481" s="3" t="str">
        <f>MID(C481,5,3)</f>
        <v>900</v>
      </c>
      <c r="V481" s="3" t="str">
        <f>MID(C481,9,3)</f>
        <v/>
      </c>
    </row>
    <row r="482" spans="2:26" ht="15.75" customHeight="1" x14ac:dyDescent="0.25">
      <c r="B482" s="146" t="s">
        <v>263</v>
      </c>
      <c r="C482" s="214">
        <f>+'[1]BALANZA G'!C153</f>
        <v>50235000</v>
      </c>
      <c r="D482" s="214">
        <v>41370000</v>
      </c>
      <c r="E482" s="69">
        <f>+C482-D482</f>
        <v>8865000</v>
      </c>
      <c r="R482" s="3" t="str">
        <f>+CONCATENATE(S482,"",T482,"",U482,V482,".00")</f>
        <v>50235000.00</v>
      </c>
      <c r="S482" s="3" t="str">
        <f>MID(C482,1,3)</f>
        <v>502</v>
      </c>
      <c r="T482" s="3" t="str">
        <f>MID(C482,4,3)</f>
        <v>350</v>
      </c>
      <c r="U482" s="3" t="str">
        <f>MID(C482,7,3)</f>
        <v>00</v>
      </c>
      <c r="V482" s="3" t="str">
        <f>MID(C482,10,3)</f>
        <v/>
      </c>
    </row>
    <row r="483" spans="2:26" ht="28.5" customHeight="1" x14ac:dyDescent="0.25">
      <c r="B483" s="215" t="s">
        <v>264</v>
      </c>
      <c r="C483" s="214">
        <f>+'[1]BALANZA G'!C154</f>
        <v>27771912</v>
      </c>
      <c r="D483" s="214">
        <v>27771916.02</v>
      </c>
      <c r="E483" s="216">
        <f>+C483-D483</f>
        <v>-4.0199999995529652</v>
      </c>
      <c r="N483" s="2">
        <f>3106590.67*5</f>
        <v>15532953.35</v>
      </c>
      <c r="R483" s="3" t="str">
        <f>+CONCATENATE(S483,",",T483,",",U483,V483,".00")</f>
        <v>2,777,191.00</v>
      </c>
      <c r="S483" s="3" t="str">
        <f>MID(C483,1,1)</f>
        <v>2</v>
      </c>
      <c r="T483" s="3" t="str">
        <f>MID(C483,2,3)</f>
        <v>777</v>
      </c>
      <c r="U483" s="3" t="str">
        <f>MID(C483,5,3)</f>
        <v>191</v>
      </c>
      <c r="V483" s="3" t="str">
        <f>MID(C483,9,3)</f>
        <v/>
      </c>
    </row>
    <row r="484" spans="2:26" ht="19.5" customHeight="1" x14ac:dyDescent="0.25">
      <c r="B484" s="215" t="s">
        <v>265</v>
      </c>
      <c r="C484" s="214">
        <v>0</v>
      </c>
      <c r="D484" s="214">
        <v>0</v>
      </c>
      <c r="E484" s="216">
        <f>+C484-D484</f>
        <v>0</v>
      </c>
    </row>
    <row r="485" spans="2:26" x14ac:dyDescent="0.25">
      <c r="B485" s="164" t="s">
        <v>266</v>
      </c>
      <c r="C485" s="208">
        <f>SUM(C481:C484)</f>
        <v>101965914</v>
      </c>
      <c r="D485" s="209">
        <f>SUM(D481:D483)</f>
        <v>97396275.019999996</v>
      </c>
      <c r="E485" s="208">
        <f>SUM(E481:E483)</f>
        <v>4569638.9800000004</v>
      </c>
      <c r="H485" s="78"/>
      <c r="N485" s="2">
        <v>2556519</v>
      </c>
      <c r="R485" s="3" t="str">
        <f>+CONCATENATE(S485,",",T485,",",U485,V485,AB485)</f>
        <v>10,196,5914</v>
      </c>
      <c r="S485" s="3" t="str">
        <f>MID(C485,1,2)</f>
        <v>10</v>
      </c>
      <c r="T485" s="3" t="str">
        <f>MID(C485,3,3)</f>
        <v>196</v>
      </c>
      <c r="U485" s="3" t="str">
        <f>MID(C485,6,3)</f>
        <v>591</v>
      </c>
      <c r="V485" s="3" t="str">
        <f>MID(C485,9,3)</f>
        <v>4</v>
      </c>
    </row>
    <row r="486" spans="2:26" x14ac:dyDescent="0.25">
      <c r="B486" s="210"/>
      <c r="C486" s="211">
        <f>+C485-[1]ERF!B12</f>
        <v>0</v>
      </c>
      <c r="D486" s="211">
        <f>+D485-[1]ERF!C12</f>
        <v>0</v>
      </c>
      <c r="E486" s="213"/>
      <c r="H486" s="78"/>
      <c r="N486" s="2">
        <f>+N483+N485</f>
        <v>18089472.350000001</v>
      </c>
      <c r="R486" s="3" t="str">
        <f>+CONCATENATE(S486,",",T486,",",U486,V486,AB486)</f>
        <v>973,962,75.02</v>
      </c>
      <c r="S486" s="3" t="str">
        <f>MID(D485,1,3)</f>
        <v>973</v>
      </c>
      <c r="T486" s="3" t="str">
        <f>MID(D485,4,3)</f>
        <v>962</v>
      </c>
      <c r="U486" s="3" t="str">
        <f>MID(D485,7,3)</f>
        <v>75.</v>
      </c>
      <c r="V486" s="3" t="str">
        <f>MID(D485,10,3)</f>
        <v>02</v>
      </c>
    </row>
    <row r="487" spans="2:26" s="35" customFormat="1" x14ac:dyDescent="0.25">
      <c r="B487" s="272" t="str">
        <f>("Cambio porcentual con relación al "&amp;$D$117&amp;".")</f>
        <v>Cambio porcentual con relación al 2024.</v>
      </c>
      <c r="C487" s="273"/>
      <c r="D487" s="45" t="str">
        <f>IF(E487&gt;=0,"Aumento","Disminución")</f>
        <v>Aumento</v>
      </c>
      <c r="E487" s="76">
        <f>+E485/D485</f>
        <v>4.6918005632778467E-2</v>
      </c>
      <c r="J487" s="39"/>
      <c r="K487" s="39"/>
      <c r="N487" s="39"/>
      <c r="R487" s="3" t="str">
        <f>+CONCATENATE(S487,",",T487,",",U487,V487,AB487,".00")</f>
        <v>282,543,59.00</v>
      </c>
      <c r="S487" s="3" t="str">
        <f>MID(D481,1,3)</f>
        <v>282</v>
      </c>
      <c r="T487" s="3" t="str">
        <f>MID(D481,4,3)</f>
        <v>543</v>
      </c>
      <c r="U487" s="3" t="str">
        <f>MID(D481,7,3)</f>
        <v>59</v>
      </c>
      <c r="V487" s="3" t="str">
        <f>MID(D481,10,3)</f>
        <v/>
      </c>
      <c r="W487" s="40"/>
      <c r="X487" s="40"/>
      <c r="Y487" s="40"/>
      <c r="Z487" s="39"/>
    </row>
    <row r="488" spans="2:26" ht="21" customHeight="1" x14ac:dyDescent="0.25">
      <c r="B488" s="10"/>
      <c r="H488" s="78"/>
      <c r="R488" s="3" t="str">
        <f>+CONCATENATE(S488,",",T488,",",U488,V488,AB488)</f>
        <v>41,370,000</v>
      </c>
      <c r="S488" s="3" t="str">
        <f>MID(D482,1,2)</f>
        <v>41</v>
      </c>
      <c r="T488" s="3" t="str">
        <f>MID(D482,3,3)</f>
        <v>370</v>
      </c>
      <c r="U488" s="3" t="str">
        <f>MID(D482,6,3)</f>
        <v>000</v>
      </c>
      <c r="V488" s="3" t="str">
        <f>MID(D482,9,3)</f>
        <v/>
      </c>
    </row>
    <row r="489" spans="2:26" ht="28.5" hidden="1" customHeight="1" x14ac:dyDescent="0.25">
      <c r="B489" s="278" t="e">
        <f>("Nota: CORAAMOCA tiene un presupuesto aprobado para el "&amp;C480&amp;" por un valor de RD$ "&amp;#REF!&amp;" ")</f>
        <v>#REF!</v>
      </c>
      <c r="C489" s="278"/>
      <c r="D489" s="278"/>
      <c r="E489" s="278"/>
      <c r="R489" s="3" t="str">
        <f>+CONCATENATE(S489,",",T489,",",U489,V489,AB489,".00")</f>
        <v>27,771,916.02.00</v>
      </c>
      <c r="S489" s="3" t="str">
        <f>MID(D483,1,2)</f>
        <v>27</v>
      </c>
      <c r="T489" s="3" t="str">
        <f>MID(D483,3,3)</f>
        <v>771</v>
      </c>
      <c r="U489" s="3" t="str">
        <f>MID(D483,6,3)</f>
        <v>916</v>
      </c>
      <c r="V489" s="3" t="str">
        <f>MID(D483,9,3)</f>
        <v>.02</v>
      </c>
    </row>
    <row r="490" spans="2:26" ht="69.75" customHeight="1" x14ac:dyDescent="0.25">
      <c r="B490" s="278" t="str">
        <f>("El cual  recibirá mediante asignación de fondos del Gobierno Central,  para gastos corriente RD$ "&amp;R490&amp;" , para Gasto de capital RD$ "&amp;R492&amp;" y para  Energia Electrica de  RD$ "&amp;R491&amp;" y la Institución ingresará por ventas de servicios agua y saneamiento  un monto de RD$ "&amp;R493&amp;".")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RD$ 240,000,000.00.</v>
      </c>
      <c r="C490" s="278"/>
      <c r="D490" s="278"/>
      <c r="E490" s="278"/>
      <c r="R490" s="3" t="str">
        <f>+CONCATENATE(T490,",",U490,",",V490,W490,".00")</f>
        <v>51,195,285.00</v>
      </c>
      <c r="S490" s="217">
        <f>+'[1]Pres A'!E289</f>
        <v>51195285</v>
      </c>
      <c r="T490" s="3" t="str">
        <f>MID(S490,1,2)</f>
        <v>51</v>
      </c>
      <c r="U490" s="3" t="str">
        <f>MID(S490,3,3)</f>
        <v>195</v>
      </c>
      <c r="V490" s="3" t="str">
        <f>MID(S490,6,3)</f>
        <v>285</v>
      </c>
    </row>
    <row r="491" spans="2:26" ht="15.75" customHeight="1" x14ac:dyDescent="0.25">
      <c r="B491" s="17"/>
      <c r="C491" s="17"/>
      <c r="D491" s="17"/>
      <c r="E491" s="17"/>
      <c r="R491" s="3" t="str">
        <f>+CONCATENATE(T491,",",U491,",",V491,W491,".00")</f>
        <v>55,543,832.00</v>
      </c>
      <c r="S491" s="217">
        <f>+'[1]Pres A'!E290</f>
        <v>55543832</v>
      </c>
      <c r="T491" s="3" t="str">
        <f>MID(S491,1,2)</f>
        <v>55</v>
      </c>
      <c r="U491" s="3" t="str">
        <f>MID(S491,3,3)</f>
        <v>543</v>
      </c>
      <c r="V491" s="3" t="str">
        <f>MID(S491,6,3)</f>
        <v>832</v>
      </c>
      <c r="W491" s="3" t="str">
        <f>MID(S491,9,3)</f>
        <v/>
      </c>
    </row>
    <row r="492" spans="2:26" ht="9" customHeight="1" x14ac:dyDescent="0.25">
      <c r="B492" s="17"/>
      <c r="C492" s="17"/>
      <c r="D492" s="17"/>
      <c r="E492" s="17"/>
      <c r="R492" s="3" t="str">
        <f>+CONCATENATE(T492,",",U492,",",V492,W492,".00")</f>
        <v>100,470,000.00</v>
      </c>
      <c r="S492" s="217">
        <f>+'[1]Pres A'!E291</f>
        <v>100470000</v>
      </c>
      <c r="T492" s="3" t="str">
        <f>MID(S492,1,3)</f>
        <v>100</v>
      </c>
      <c r="U492" s="3" t="str">
        <f>MID(S492,4,3)</f>
        <v>470</v>
      </c>
      <c r="V492" s="3" t="str">
        <f>MID(S492,7,3)</f>
        <v>000</v>
      </c>
      <c r="W492" s="3" t="str">
        <f>MID(S492,10,3)</f>
        <v/>
      </c>
    </row>
    <row r="493" spans="2:26" ht="12.75" customHeight="1" x14ac:dyDescent="0.25">
      <c r="B493" s="17"/>
      <c r="C493" s="17"/>
      <c r="D493" s="17"/>
      <c r="E493" s="17"/>
      <c r="R493" s="3" t="str">
        <f>+CONCATENATE(T493,",",U493,",",V493,W493,".00")</f>
        <v>240,000,000.00</v>
      </c>
      <c r="S493" s="217">
        <f>+'[1]Pres A'!E295</f>
        <v>240000000</v>
      </c>
      <c r="T493" s="3" t="str">
        <f>MID(S493,1,3)</f>
        <v>240</v>
      </c>
      <c r="U493" s="3" t="str">
        <f>MID(S493,4,3)</f>
        <v>000</v>
      </c>
      <c r="V493" s="3" t="str">
        <f>MID(S493,7,3)</f>
        <v>000</v>
      </c>
    </row>
    <row r="494" spans="2:26" ht="15.75" customHeight="1" x14ac:dyDescent="0.25">
      <c r="B494" s="17"/>
      <c r="C494" s="17"/>
      <c r="D494" s="17"/>
      <c r="E494" s="17"/>
    </row>
    <row r="495" spans="2:26" ht="15.75" customHeight="1" x14ac:dyDescent="0.25">
      <c r="B495" s="17"/>
      <c r="C495" s="17"/>
      <c r="D495" s="17"/>
      <c r="E495" s="17"/>
    </row>
    <row r="496" spans="2:26" ht="15.75" customHeight="1" x14ac:dyDescent="0.25">
      <c r="B496" s="17"/>
      <c r="C496" s="17"/>
      <c r="D496" s="17"/>
      <c r="E496" s="17"/>
    </row>
    <row r="497" spans="2:5" ht="15.75" customHeight="1" x14ac:dyDescent="0.25">
      <c r="B497" s="17"/>
      <c r="C497" s="17"/>
      <c r="D497" s="17"/>
      <c r="E497" s="17"/>
    </row>
    <row r="498" spans="2:5" ht="32.25" customHeight="1" x14ac:dyDescent="0.25">
      <c r="B498" s="164" t="s">
        <v>261</v>
      </c>
      <c r="C498" s="218" t="s">
        <v>267</v>
      </c>
      <c r="D498" s="218" t="s">
        <v>247</v>
      </c>
      <c r="E498" s="218" t="s">
        <v>268</v>
      </c>
    </row>
    <row r="499" spans="2:5" ht="15.75" customHeight="1" x14ac:dyDescent="0.25">
      <c r="B499" s="53" t="s">
        <v>269</v>
      </c>
      <c r="C499" s="219">
        <f>+'[1]19'!$D$25</f>
        <v>3993167</v>
      </c>
      <c r="D499" s="219">
        <f>+'[1]19'!$D$26</f>
        <v>0</v>
      </c>
      <c r="E499" s="219">
        <f>+'[1]19'!$D$27</f>
        <v>4628652</v>
      </c>
    </row>
    <row r="500" spans="2:5" ht="15.75" customHeight="1" x14ac:dyDescent="0.25">
      <c r="B500" s="53" t="s">
        <v>270</v>
      </c>
      <c r="C500" s="219">
        <f>+'[1]19'!$E$25</f>
        <v>3993167</v>
      </c>
      <c r="D500" s="219">
        <f>+'[1]19'!$E$26</f>
        <v>8372500</v>
      </c>
      <c r="E500" s="219">
        <f>+'[1]19'!$E$27</f>
        <v>4628652</v>
      </c>
    </row>
    <row r="501" spans="2:5" ht="15.75" customHeight="1" x14ac:dyDescent="0.25">
      <c r="B501" s="53" t="s">
        <v>271</v>
      </c>
      <c r="C501" s="219">
        <f>+'[1]19'!$F$25</f>
        <v>3993167</v>
      </c>
      <c r="D501" s="219">
        <f>+'[1]19'!$F$26</f>
        <v>0</v>
      </c>
      <c r="E501" s="219">
        <f>+'[1]19'!$F$27</f>
        <v>4628652</v>
      </c>
    </row>
    <row r="502" spans="2:5" ht="15.75" customHeight="1" x14ac:dyDescent="0.25">
      <c r="B502" s="53" t="s">
        <v>272</v>
      </c>
      <c r="C502" s="219">
        <f>+'[1]19'!$G$25</f>
        <v>3993167</v>
      </c>
      <c r="D502" s="219">
        <f>+'[1]19'!$G$26</f>
        <v>25117500</v>
      </c>
      <c r="E502" s="219">
        <f>+'[1]19'!$G$27</f>
        <v>4628652</v>
      </c>
    </row>
    <row r="503" spans="2:5" ht="15.75" customHeight="1" x14ac:dyDescent="0.25">
      <c r="B503" s="53" t="s">
        <v>273</v>
      </c>
      <c r="C503" s="219">
        <f>+'[1]19'!$H$25</f>
        <v>3993167</v>
      </c>
      <c r="D503" s="219">
        <f>+'[1]19'!$H$26</f>
        <v>8372500</v>
      </c>
      <c r="E503" s="219">
        <f>+'[1]19'!$H$27</f>
        <v>4628652</v>
      </c>
    </row>
    <row r="504" spans="2:5" ht="15.75" customHeight="1" x14ac:dyDescent="0.25">
      <c r="B504" s="53" t="s">
        <v>274</v>
      </c>
      <c r="C504" s="219">
        <f>+'[1]19'!$I$25</f>
        <v>3993167</v>
      </c>
      <c r="D504" s="219">
        <f>+'[1]19'!$I$26</f>
        <v>8372500</v>
      </c>
      <c r="E504" s="219">
        <f>+'[1]19'!$I$27</f>
        <v>4628652</v>
      </c>
    </row>
    <row r="505" spans="2:5" ht="15.75" customHeight="1" x14ac:dyDescent="0.25">
      <c r="B505" s="53" t="s">
        <v>275</v>
      </c>
      <c r="C505" s="219">
        <f>+'[1]19'!$J$25</f>
        <v>0</v>
      </c>
      <c r="D505" s="219">
        <f>+'[1]19'!$J$26</f>
        <v>0</v>
      </c>
      <c r="E505" s="219">
        <f>+'[1]19'!$J$27</f>
        <v>0</v>
      </c>
    </row>
    <row r="506" spans="2:5" ht="15.75" customHeight="1" x14ac:dyDescent="0.25">
      <c r="B506" s="53" t="s">
        <v>276</v>
      </c>
      <c r="C506" s="219">
        <f>+'[1]19'!$K$25</f>
        <v>0</v>
      </c>
      <c r="D506" s="219">
        <f>+'[1]19'!$K$26</f>
        <v>0</v>
      </c>
      <c r="E506" s="219">
        <f>+'[1]19'!$K$27</f>
        <v>0</v>
      </c>
    </row>
    <row r="507" spans="2:5" ht="15.75" customHeight="1" x14ac:dyDescent="0.25">
      <c r="B507" s="53" t="s">
        <v>277</v>
      </c>
      <c r="C507" s="219">
        <f>+'[1]19'!$L$25</f>
        <v>0</v>
      </c>
      <c r="D507" s="219">
        <f>+'[1]19'!$L$26</f>
        <v>0</v>
      </c>
      <c r="E507" s="219">
        <f>+'[1]19'!$L$27</f>
        <v>0</v>
      </c>
    </row>
    <row r="508" spans="2:5" ht="15.75" customHeight="1" x14ac:dyDescent="0.25">
      <c r="B508" s="53" t="s">
        <v>278</v>
      </c>
      <c r="C508" s="219">
        <f>+'[1]19'!$M$25</f>
        <v>0</v>
      </c>
      <c r="D508" s="219">
        <f>+'[1]19'!$M$26</f>
        <v>0</v>
      </c>
      <c r="E508" s="219">
        <f>+'[1]19'!$M$27</f>
        <v>0</v>
      </c>
    </row>
    <row r="509" spans="2:5" ht="15.75" customHeight="1" x14ac:dyDescent="0.25">
      <c r="B509" s="53" t="s">
        <v>279</v>
      </c>
      <c r="C509" s="219">
        <f>+'[1]19'!$N$25</f>
        <v>0</v>
      </c>
      <c r="D509" s="219">
        <f>+'[1]19'!$N$26</f>
        <v>0</v>
      </c>
      <c r="E509" s="219">
        <f>+'[1]19'!$N$27</f>
        <v>0</v>
      </c>
    </row>
    <row r="510" spans="2:5" ht="15.75" customHeight="1" x14ac:dyDescent="0.25">
      <c r="B510" s="53" t="s">
        <v>280</v>
      </c>
      <c r="C510" s="219">
        <f>+'[1]19'!$O$25</f>
        <v>0</v>
      </c>
      <c r="D510" s="219">
        <f>+'[1]19'!$O$26</f>
        <v>0</v>
      </c>
      <c r="E510" s="219">
        <f>+'[1]19'!$O$27</f>
        <v>0</v>
      </c>
    </row>
    <row r="511" spans="2:5" ht="15.75" customHeight="1" x14ac:dyDescent="0.25">
      <c r="B511" s="220" t="s">
        <v>213</v>
      </c>
      <c r="C511" s="221">
        <f>SUM(C499:C510)</f>
        <v>23959002</v>
      </c>
      <c r="D511" s="221">
        <f>SUM(D499:D510)</f>
        <v>50235000</v>
      </c>
      <c r="E511" s="221">
        <f>SUM(E499:E510)</f>
        <v>27771912</v>
      </c>
    </row>
    <row r="512" spans="2:5" ht="15.75" customHeight="1" x14ac:dyDescent="0.25">
      <c r="B512" s="222"/>
      <c r="C512" s="223"/>
      <c r="D512" s="223"/>
      <c r="E512" s="223"/>
    </row>
    <row r="513" spans="2:21" ht="15.75" customHeight="1" x14ac:dyDescent="0.25">
      <c r="B513" s="222" t="s">
        <v>281</v>
      </c>
      <c r="C513" s="223">
        <f>+C511+E511</f>
        <v>51730914</v>
      </c>
      <c r="D513" s="223"/>
      <c r="E513" s="223"/>
    </row>
    <row r="514" spans="2:21" ht="15.75" customHeight="1" x14ac:dyDescent="0.25">
      <c r="B514" s="222" t="s">
        <v>282</v>
      </c>
      <c r="C514" s="223">
        <f>+D511</f>
        <v>50235000</v>
      </c>
      <c r="D514" s="223"/>
      <c r="E514" s="223"/>
    </row>
    <row r="515" spans="2:21" ht="30" customHeight="1" x14ac:dyDescent="0.25">
      <c r="B515" s="17"/>
      <c r="C515" s="17"/>
      <c r="D515" s="17"/>
      <c r="E515" s="17"/>
    </row>
    <row r="516" spans="2:21" ht="32.25" customHeight="1" x14ac:dyDescent="0.25">
      <c r="B516" s="278" t="s">
        <v>283</v>
      </c>
      <c r="C516" s="278"/>
      <c r="D516" s="278"/>
      <c r="E516" s="278"/>
    </row>
    <row r="517" spans="2:21" ht="15.75" customHeight="1" x14ac:dyDescent="0.25">
      <c r="B517" s="17"/>
      <c r="C517" s="17"/>
      <c r="D517" s="17"/>
      <c r="E517" s="17"/>
    </row>
    <row r="518" spans="2:21" ht="23.25" customHeight="1" x14ac:dyDescent="0.25">
      <c r="B518" s="52" t="s">
        <v>284</v>
      </c>
      <c r="C518" s="195"/>
      <c r="J518" s="2">
        <v>192000000</v>
      </c>
      <c r="K518" s="2">
        <f>J518/12</f>
        <v>16000000</v>
      </c>
    </row>
    <row r="519" spans="2:21" x14ac:dyDescent="0.25">
      <c r="B519" s="52" t="s">
        <v>285</v>
      </c>
      <c r="J519" s="2">
        <v>21106726</v>
      </c>
      <c r="K519" s="2">
        <f>J519/12</f>
        <v>1758893.8333333333</v>
      </c>
    </row>
    <row r="520" spans="2:21" ht="36.75" customHeight="1" x14ac:dyDescent="0.25">
      <c r="B520" s="276" t="str">
        <f>("Un detalle de los "&amp;B519&amp;" al "&amp;[1]BALANZA!$B$3&amp;" "&amp;[1]BALANZA!$C$3&amp;" es como se detalla a continuación:")</f>
        <v>Un detalle de los Sueldos, Salarios y beneficios a empleados al 30 de junio del 2025 - 2024 es como se detalla a continuación:</v>
      </c>
      <c r="C520" s="277"/>
      <c r="D520" s="277"/>
      <c r="E520" s="277"/>
      <c r="J520" s="2">
        <v>70000000</v>
      </c>
      <c r="K520" s="2">
        <f>J520/12</f>
        <v>5833333.333333333</v>
      </c>
      <c r="L520" s="2">
        <f>4666666*3</f>
        <v>13999998</v>
      </c>
    </row>
    <row r="521" spans="2:21" ht="16.5" customHeight="1" x14ac:dyDescent="0.25">
      <c r="B521" s="279"/>
      <c r="C521" s="271"/>
      <c r="D521" s="271"/>
      <c r="E521" s="271"/>
      <c r="J521" s="2">
        <v>37279088</v>
      </c>
      <c r="L521" s="2">
        <f>1598764*5</f>
        <v>7993820</v>
      </c>
    </row>
    <row r="522" spans="2:21" x14ac:dyDescent="0.25">
      <c r="B522" s="164" t="str">
        <f>+B465</f>
        <v>Cuenta</v>
      </c>
      <c r="C522" s="165">
        <f>+[1]BALANZA!B4</f>
        <v>2025</v>
      </c>
      <c r="D522" s="165">
        <f>+[1]BALANZA!C4</f>
        <v>2024</v>
      </c>
      <c r="E522" s="181" t="s">
        <v>219</v>
      </c>
      <c r="K522" s="2">
        <f>J519+J520+J521</f>
        <v>128385814</v>
      </c>
      <c r="L522" s="2">
        <f>10296372.36+13618335.6</f>
        <v>23914707.960000001</v>
      </c>
    </row>
    <row r="523" spans="2:21" x14ac:dyDescent="0.25">
      <c r="B523" s="224" t="s">
        <v>286</v>
      </c>
      <c r="C523" s="225">
        <f>+'[1]BALANZA G'!C161+'[1]BALANZA G'!C162</f>
        <v>72004764</v>
      </c>
      <c r="D523" s="225">
        <v>74074164</v>
      </c>
      <c r="E523" s="34">
        <f t="shared" ref="E523:E528" si="3">+C523-D523</f>
        <v>-2069400</v>
      </c>
      <c r="J523" s="2">
        <f>+J521+J518+J520+J519</f>
        <v>320385814</v>
      </c>
      <c r="U523" s="196"/>
    </row>
    <row r="524" spans="2:21" x14ac:dyDescent="0.25">
      <c r="B524" s="224" t="s">
        <v>287</v>
      </c>
      <c r="C524" s="225">
        <f>+'[1]BALANZA G'!C164+'[1]BALANZA G'!C165+'[1]BALANZA G'!C167+'[1]BALANZA G'!C168+'[1]BALANZA G'!C163</f>
        <v>0</v>
      </c>
      <c r="D524" s="225">
        <v>0</v>
      </c>
      <c r="E524" s="34">
        <f t="shared" si="3"/>
        <v>0</v>
      </c>
      <c r="L524" s="195">
        <f>L522+L521+L520</f>
        <v>45908525.960000001</v>
      </c>
      <c r="U524" s="196"/>
    </row>
    <row r="525" spans="2:21" ht="44.25" customHeight="1" x14ac:dyDescent="0.25">
      <c r="B525" s="224" t="s">
        <v>288</v>
      </c>
      <c r="C525" s="225">
        <f>+'[1]BALANZA G'!C172+'[1]BALANZA G'!C173+'[1]BALANZA G'!C169+'[1]BALANZA G'!C174+'[1]BALANZA G'!C176+'[1]BALANZA G'!C171+'[1]BALANZA G'!C170</f>
        <v>8300739.3100000005</v>
      </c>
      <c r="D525" s="225">
        <v>3940581.31</v>
      </c>
      <c r="E525" s="34">
        <f t="shared" si="3"/>
        <v>4360158</v>
      </c>
      <c r="U525" s="196"/>
    </row>
    <row r="526" spans="2:21" hidden="1" x14ac:dyDescent="0.25">
      <c r="B526" s="224" t="s">
        <v>289</v>
      </c>
      <c r="C526" s="225">
        <f>+'[1]BALANZA G'!C178</f>
        <v>0</v>
      </c>
      <c r="D526" s="225">
        <f>+'[1]BALANZA G'!D178</f>
        <v>0</v>
      </c>
      <c r="E526" s="34">
        <f t="shared" si="3"/>
        <v>0</v>
      </c>
      <c r="U526" s="196"/>
    </row>
    <row r="527" spans="2:21" x14ac:dyDescent="0.25">
      <c r="B527" s="224" t="s">
        <v>290</v>
      </c>
      <c r="C527" s="225">
        <f>+'[1]BALANZA G'!C179+'[1]BALANZA G'!C180+'[1]BALANZA G'!C181+'[1]BALANZA G'!C183</f>
        <v>1075000</v>
      </c>
      <c r="D527" s="225">
        <v>1465000</v>
      </c>
      <c r="E527" s="34">
        <f t="shared" si="3"/>
        <v>-390000</v>
      </c>
      <c r="U527" s="196"/>
    </row>
    <row r="528" spans="2:21" x14ac:dyDescent="0.25">
      <c r="B528" s="224" t="s">
        <v>291</v>
      </c>
      <c r="C528" s="225">
        <f>+'[1]BALANZA G'!C184+'[1]BALANZA G'!C186+'[1]BALANZA G'!C183+'[1]BALANZA G'!C185+'[1]BALANZA G'!C182+'[1]BALANZA G'!C175</f>
        <v>8250</v>
      </c>
      <c r="D528" s="225">
        <v>0</v>
      </c>
      <c r="E528" s="34">
        <f t="shared" si="3"/>
        <v>8250</v>
      </c>
      <c r="U528" s="196"/>
    </row>
    <row r="529" spans="2:26" x14ac:dyDescent="0.25">
      <c r="B529" s="224" t="s">
        <v>292</v>
      </c>
      <c r="C529" s="225">
        <f>+'[1]BALANZA G'!C304+'[1]BALANZA G'!C166</f>
        <v>1622887.04</v>
      </c>
      <c r="D529" s="225">
        <v>473568.28</v>
      </c>
      <c r="E529" s="34">
        <f>+C529-D529</f>
        <v>1149318.76</v>
      </c>
      <c r="U529" s="196"/>
    </row>
    <row r="530" spans="2:26" x14ac:dyDescent="0.25">
      <c r="B530" s="224" t="s">
        <v>293</v>
      </c>
      <c r="C530" s="225">
        <f>+'[1]BALANZA G'!C189</f>
        <v>5104234.13</v>
      </c>
      <c r="D530" s="225">
        <v>5286056.46</v>
      </c>
      <c r="E530" s="34">
        <f>+C530-D530</f>
        <v>-181822.33000000007</v>
      </c>
      <c r="U530" s="196"/>
    </row>
    <row r="531" spans="2:26" x14ac:dyDescent="0.25">
      <c r="B531" s="224" t="s">
        <v>294</v>
      </c>
      <c r="C531" s="225">
        <f>+'[1]BALANZA G'!C190</f>
        <v>5112803.8499999996</v>
      </c>
      <c r="D531" s="225">
        <v>3913449.67</v>
      </c>
      <c r="E531" s="34">
        <f>+C531-D531</f>
        <v>1199354.1799999997</v>
      </c>
      <c r="U531" s="196"/>
    </row>
    <row r="532" spans="2:26" x14ac:dyDescent="0.25">
      <c r="B532" s="224" t="s">
        <v>295</v>
      </c>
      <c r="C532" s="225">
        <f>+'[1]BALANZA G'!C191</f>
        <v>855621.15</v>
      </c>
      <c r="D532" s="225">
        <v>2263824.7400000002</v>
      </c>
      <c r="E532" s="34">
        <f>+C532-D532</f>
        <v>-1408203.5900000003</v>
      </c>
      <c r="U532" s="196"/>
    </row>
    <row r="533" spans="2:26" ht="28.5" x14ac:dyDescent="0.25">
      <c r="B533" s="226" t="s">
        <v>296</v>
      </c>
      <c r="C533" s="108">
        <f>SUM(C523:C532)</f>
        <v>94084299.480000004</v>
      </c>
      <c r="D533" s="183">
        <f>SUM(D523:D532)</f>
        <v>91416644.459999993</v>
      </c>
      <c r="E533" s="227">
        <f>SUM(E523:E532)</f>
        <v>2667655.0199999991</v>
      </c>
    </row>
    <row r="534" spans="2:26" x14ac:dyDescent="0.25">
      <c r="B534" s="9"/>
      <c r="C534" s="228">
        <f>+C533-[1]ERF!B17</f>
        <v>0</v>
      </c>
      <c r="J534" s="39"/>
    </row>
    <row r="535" spans="2:26" s="35" customFormat="1" x14ac:dyDescent="0.25">
      <c r="B535" s="272" t="str">
        <f>("Cambio porcentual con relación al "&amp;$D$117&amp;".")</f>
        <v>Cambio porcentual con relación al 2024.</v>
      </c>
      <c r="C535" s="273"/>
      <c r="D535" s="229" t="str">
        <f>IF(E535&gt;=0,"Aumento","Disminución")</f>
        <v>Aumento</v>
      </c>
      <c r="E535" s="230">
        <f>+C533/D533</f>
        <v>1.0291812835152494</v>
      </c>
      <c r="J535" s="2"/>
      <c r="K535" s="39"/>
      <c r="N535" s="39"/>
      <c r="R535" s="40"/>
      <c r="S535" s="40"/>
      <c r="T535" s="40"/>
      <c r="U535" s="40"/>
      <c r="V535" s="40"/>
      <c r="W535" s="40"/>
      <c r="X535" s="40"/>
      <c r="Y535" s="40"/>
      <c r="Z535" s="39"/>
    </row>
    <row r="536" spans="2:26" x14ac:dyDescent="0.25">
      <c r="B536" s="9"/>
    </row>
    <row r="537" spans="2:26" x14ac:dyDescent="0.25">
      <c r="B537" s="9"/>
    </row>
    <row r="538" spans="2:26" x14ac:dyDescent="0.25">
      <c r="B538" s="9"/>
    </row>
    <row r="539" spans="2:26" x14ac:dyDescent="0.25">
      <c r="B539" s="9"/>
    </row>
    <row r="540" spans="2:26" ht="9.75" customHeight="1" x14ac:dyDescent="0.25">
      <c r="B540" s="9"/>
    </row>
    <row r="541" spans="2:26" x14ac:dyDescent="0.25">
      <c r="B541" s="52" t="s">
        <v>297</v>
      </c>
    </row>
    <row r="542" spans="2:26" x14ac:dyDescent="0.25">
      <c r="B542" s="52" t="s">
        <v>298</v>
      </c>
    </row>
    <row r="543" spans="2:26" ht="38.25" customHeight="1" x14ac:dyDescent="0.25">
      <c r="B543" s="276" t="str">
        <f>("Un detalle de  "&amp;B542&amp;" al "&amp;[1]BALANZA!$B$3&amp;" "&amp;[1]BALANZA!$C$3&amp;" es como se detalla a continuación:")</f>
        <v>Un detalle de  Subvenciones y otros pagos por transferencias al 30 de junio del 2025 - 2024 es como se detalla a continuación:</v>
      </c>
      <c r="C543" s="277"/>
      <c r="D543" s="277"/>
      <c r="E543" s="277"/>
    </row>
    <row r="544" spans="2:26" ht="9" customHeight="1" x14ac:dyDescent="0.25">
      <c r="B544" s="10"/>
    </row>
    <row r="545" spans="2:27" x14ac:dyDescent="0.25">
      <c r="B545" s="164" t="s">
        <v>299</v>
      </c>
      <c r="C545" s="165">
        <f>+C557</f>
        <v>2025</v>
      </c>
      <c r="D545" s="165">
        <f>+D557</f>
        <v>2024</v>
      </c>
      <c r="E545" s="190" t="s">
        <v>219</v>
      </c>
    </row>
    <row r="546" spans="2:27" ht="16.5" customHeight="1" x14ac:dyDescent="0.25">
      <c r="B546" s="231" t="s">
        <v>300</v>
      </c>
      <c r="C546" s="102">
        <f>+'[1]BALANZA G'!C305</f>
        <v>30000</v>
      </c>
      <c r="D546" s="225">
        <f>+'[1]BALANZA G'!D305+'[1]BALANZA G'!D306</f>
        <v>0</v>
      </c>
      <c r="E546" s="69">
        <f>+C546-D546</f>
        <v>30000</v>
      </c>
    </row>
    <row r="547" spans="2:27" ht="23.25" hidden="1" customHeight="1" x14ac:dyDescent="0.25">
      <c r="B547" s="232"/>
      <c r="C547" s="233"/>
      <c r="D547" s="234"/>
      <c r="E547" s="235"/>
      <c r="I547" s="159"/>
      <c r="J547" s="160"/>
      <c r="K547" s="160"/>
    </row>
    <row r="548" spans="2:27" ht="28.5" x14ac:dyDescent="0.25">
      <c r="B548" s="226" t="s">
        <v>301</v>
      </c>
      <c r="C548" s="108">
        <f>SUM(C546+C547)</f>
        <v>30000</v>
      </c>
      <c r="D548" s="183">
        <f>SUM(D546)</f>
        <v>0</v>
      </c>
      <c r="E548" s="236">
        <f>+C548-D548</f>
        <v>30000</v>
      </c>
    </row>
    <row r="549" spans="2:27" x14ac:dyDescent="0.25">
      <c r="B549" s="94"/>
      <c r="C549" s="228">
        <f>+C548-[1]ERF!B18</f>
        <v>0</v>
      </c>
      <c r="J549" s="39"/>
    </row>
    <row r="550" spans="2:27" s="35" customFormat="1" x14ac:dyDescent="0.25">
      <c r="B550" s="272" t="str">
        <f>("Cambio porcentual con relación al "&amp;$D$117&amp;".")</f>
        <v>Cambio porcentual con relación al 2024.</v>
      </c>
      <c r="C550" s="273"/>
      <c r="D550" s="45" t="e">
        <f>IF(E550&gt;=0,"Aumento","Disminución")</f>
        <v>#DIV/0!</v>
      </c>
      <c r="E550" s="76" t="e">
        <f>+E548/D548</f>
        <v>#DIV/0!</v>
      </c>
      <c r="J550" s="39"/>
      <c r="K550" s="39"/>
      <c r="N550" s="39"/>
      <c r="R550" s="40"/>
      <c r="S550" s="40"/>
      <c r="T550" s="40"/>
      <c r="U550" s="40"/>
      <c r="V550" s="40"/>
      <c r="W550" s="40"/>
      <c r="X550" s="40"/>
      <c r="Y550" s="40"/>
      <c r="Z550" s="39"/>
    </row>
    <row r="551" spans="2:27" s="35" customFormat="1" ht="17.25" customHeight="1" x14ac:dyDescent="0.25">
      <c r="B551" s="50"/>
      <c r="C551" s="50"/>
      <c r="D551" s="48"/>
      <c r="E551" s="51"/>
      <c r="J551" s="39"/>
      <c r="K551" s="39"/>
      <c r="N551" s="39"/>
      <c r="R551" s="40"/>
      <c r="S551" s="40"/>
      <c r="T551" s="40"/>
      <c r="U551" s="40"/>
      <c r="V551" s="40"/>
      <c r="W551" s="40"/>
      <c r="X551" s="40"/>
      <c r="Y551" s="40"/>
      <c r="Z551" s="39"/>
    </row>
    <row r="552" spans="2:27" s="35" customFormat="1" ht="30" customHeight="1" x14ac:dyDescent="0.25">
      <c r="B552" s="50"/>
      <c r="C552" s="50"/>
      <c r="D552" s="48"/>
      <c r="E552" s="51"/>
      <c r="J552" s="2"/>
      <c r="K552" s="39"/>
      <c r="N552" s="39"/>
      <c r="R552" s="40"/>
      <c r="S552" s="40"/>
      <c r="T552" s="40"/>
      <c r="U552" s="40"/>
      <c r="V552" s="40"/>
      <c r="W552" s="40"/>
      <c r="X552" s="40"/>
      <c r="Y552" s="40"/>
      <c r="Z552" s="39"/>
    </row>
    <row r="553" spans="2:27" x14ac:dyDescent="0.25">
      <c r="B553" s="52" t="s">
        <v>302</v>
      </c>
    </row>
    <row r="554" spans="2:27" x14ac:dyDescent="0.25">
      <c r="B554" s="52" t="s">
        <v>303</v>
      </c>
    </row>
    <row r="555" spans="2:27" ht="36.75" customHeight="1" x14ac:dyDescent="0.25">
      <c r="B555" s="276" t="str">
        <f>("Un detalle del "&amp;B554&amp;" al "&amp;[1]BALANZA!$B$3&amp;" "&amp;[1]BALANZA!$C$3&amp;" es como se detalla a continuación:")</f>
        <v>Un detalle del Suministro y materiales para consumo al 30 de junio del 2025 - 2024 es como se detalla a continuación:</v>
      </c>
      <c r="C555" s="277"/>
      <c r="D555" s="277"/>
      <c r="E555" s="277"/>
    </row>
    <row r="556" spans="2:27" ht="8.25" customHeight="1" x14ac:dyDescent="0.25">
      <c r="B556" s="10"/>
    </row>
    <row r="557" spans="2:27" x14ac:dyDescent="0.25">
      <c r="B557" s="164" t="s">
        <v>299</v>
      </c>
      <c r="C557" s="165">
        <f>+[1]BALANZA!B4</f>
        <v>2025</v>
      </c>
      <c r="D557" s="165">
        <f>+[1]BALANZA!C4</f>
        <v>2024</v>
      </c>
      <c r="E557" s="190" t="s">
        <v>219</v>
      </c>
    </row>
    <row r="558" spans="2:27" x14ac:dyDescent="0.25">
      <c r="B558" s="146" t="s">
        <v>304</v>
      </c>
      <c r="C558" s="237">
        <f>+'[1]BALANZA G'!C258+'[1]BALANZA G'!C260+'[1]BALANZA G'!C259+'[1]BALANZA G'!C295</f>
        <v>1634266.18</v>
      </c>
      <c r="D558" s="237">
        <v>370485.98000000004</v>
      </c>
      <c r="E558" s="69">
        <f t="shared" ref="E558:E564" si="4">+C558-D558</f>
        <v>1263780.2</v>
      </c>
      <c r="K558" s="2">
        <v>866355.16</v>
      </c>
      <c r="T558" s="87"/>
      <c r="Z558" s="2">
        <v>1008264.5</v>
      </c>
      <c r="AA558" s="195">
        <f t="shared" ref="AA558:AA563" si="5">+D558-Z558</f>
        <v>-637778.52</v>
      </c>
    </row>
    <row r="559" spans="2:27" x14ac:dyDescent="0.25">
      <c r="B559" s="146" t="s">
        <v>305</v>
      </c>
      <c r="C559" s="237">
        <f>+'[1]BALANZA G'!C261+'[1]BALANZA G'!C262+'[1]BALANZA G'!C263</f>
        <v>0</v>
      </c>
      <c r="D559" s="28">
        <v>0</v>
      </c>
      <c r="E559" s="69">
        <f t="shared" si="4"/>
        <v>0</v>
      </c>
      <c r="K559" s="2">
        <v>0</v>
      </c>
      <c r="T559" s="87"/>
      <c r="Z559" s="2">
        <v>1300</v>
      </c>
      <c r="AA559" s="195">
        <f t="shared" si="5"/>
        <v>-1300</v>
      </c>
    </row>
    <row r="560" spans="2:27" x14ac:dyDescent="0.25">
      <c r="B560" s="146" t="s">
        <v>306</v>
      </c>
      <c r="C560" s="237">
        <f>+'[1]BALANZA G'!C264+'[1]BALANZA G'!C265+'[1]BALANZA G'!C266</f>
        <v>150998.28</v>
      </c>
      <c r="D560" s="28">
        <v>380037</v>
      </c>
      <c r="E560" s="69">
        <f t="shared" si="4"/>
        <v>-229038.72</v>
      </c>
      <c r="K560" s="2">
        <v>480383.55</v>
      </c>
      <c r="T560" s="87"/>
      <c r="Z560" s="2">
        <v>330702</v>
      </c>
      <c r="AA560" s="195">
        <f t="shared" si="5"/>
        <v>49335</v>
      </c>
    </row>
    <row r="561" spans="2:27" x14ac:dyDescent="0.25">
      <c r="B561" s="146" t="s">
        <v>307</v>
      </c>
      <c r="C561" s="237">
        <f>+'[1]BALANZA G'!C268+'[1]BALANZA G'!C270+'[1]BALANZA G'!C274+'[1]BALANZA G'!C269</f>
        <v>4371945</v>
      </c>
      <c r="D561" s="28">
        <v>4318595</v>
      </c>
      <c r="E561" s="69">
        <f t="shared" si="4"/>
        <v>53350</v>
      </c>
      <c r="K561" s="2">
        <v>8347130</v>
      </c>
      <c r="T561" s="87"/>
      <c r="Z561" s="2">
        <v>7580799</v>
      </c>
      <c r="AA561" s="195">
        <f t="shared" si="5"/>
        <v>-3262204</v>
      </c>
    </row>
    <row r="562" spans="2:27" x14ac:dyDescent="0.25">
      <c r="B562" s="146" t="s">
        <v>308</v>
      </c>
      <c r="C562" s="237">
        <f>+'[1]BALANZA G'!C271+'[1]BALANZA G'!C275+'[1]BALANZA G'!C273+'[1]BALANZA G'!C272+'[1]BALANZA G'!C277</f>
        <v>2135137.12</v>
      </c>
      <c r="D562" s="237">
        <v>1475311.94</v>
      </c>
      <c r="E562" s="69">
        <f t="shared" si="4"/>
        <v>659825.18000000017</v>
      </c>
      <c r="K562" s="2">
        <v>4435677.3899999997</v>
      </c>
      <c r="T562" s="87"/>
      <c r="Z562" s="2">
        <v>7786358.3699999992</v>
      </c>
      <c r="AA562" s="195">
        <f t="shared" si="5"/>
        <v>-6311046.4299999997</v>
      </c>
    </row>
    <row r="563" spans="2:27" x14ac:dyDescent="0.25">
      <c r="B563" s="146" t="s">
        <v>309</v>
      </c>
      <c r="C563" s="237">
        <f>+'[1]BALANZA G'!C278+'[1]BALANZA G'!C279+'[1]BALANZA G'!C280+'[1]BALANZA G'!C281+'[1]BALANZA G'!C282+'[1]BALANZA G'!C283+'[1]BALANZA G'!C300+'[1]BALANZA G'!C290+'[1]BALANZA G'!C291+'[1]BALANZA G'!C288+'[1]BALANZA G'!C289+'[1]BALANZA G'!C285+'[1]BALANZA G'!C286+'[1]BALANZA G'!C287+'[1]BALANZA G'!C292+'[1]BALANZA G'!C293+'[1]BALANZA G'!C294+'[1]BALANZA G'!C296+'[1]BALANZA G'!C298+'[1]BALANZA G'!C297+'[1]BALANZA G'!C284+'[1]BALANZA G'!C240</f>
        <v>4762396</v>
      </c>
      <c r="D563" s="237">
        <v>3490695.91</v>
      </c>
      <c r="E563" s="69">
        <f t="shared" si="4"/>
        <v>1271700.0899999999</v>
      </c>
      <c r="K563" s="2">
        <v>12024201.759999998</v>
      </c>
      <c r="T563" s="87"/>
      <c r="Z563" s="2">
        <v>3423165.7</v>
      </c>
      <c r="AA563" s="195">
        <f t="shared" si="5"/>
        <v>67530.209999999963</v>
      </c>
    </row>
    <row r="564" spans="2:27" x14ac:dyDescent="0.25">
      <c r="B564" s="146" t="s">
        <v>310</v>
      </c>
      <c r="C564" s="237">
        <f>+'[1]BALANZA G'!C300</f>
        <v>0</v>
      </c>
      <c r="D564" s="28">
        <f>+'[1]BALANZA G'!D301-160568.42</f>
        <v>0</v>
      </c>
      <c r="E564" s="69">
        <f t="shared" si="4"/>
        <v>0</v>
      </c>
      <c r="K564" s="2">
        <v>0</v>
      </c>
    </row>
    <row r="565" spans="2:27" x14ac:dyDescent="0.25">
      <c r="B565" s="226" t="s">
        <v>311</v>
      </c>
      <c r="C565" s="37">
        <f>SUM(C558:C564)</f>
        <v>13054742.58</v>
      </c>
      <c r="D565" s="81">
        <f>SUM(D558:D564)</f>
        <v>10035125.83</v>
      </c>
      <c r="E565" s="37">
        <f>SUM(E558:E564)</f>
        <v>3019616.75</v>
      </c>
      <c r="K565" s="2">
        <v>26153747.859999999</v>
      </c>
    </row>
    <row r="566" spans="2:27" x14ac:dyDescent="0.25">
      <c r="B566" s="238"/>
      <c r="C566" s="82">
        <f>+C565-[1]ERF!B19</f>
        <v>0</v>
      </c>
      <c r="D566" s="74"/>
      <c r="E566" s="75"/>
      <c r="J566" s="39"/>
    </row>
    <row r="567" spans="2:27" s="35" customFormat="1" x14ac:dyDescent="0.25">
      <c r="B567" s="272" t="str">
        <f>("Cambio porcentual con relación al "&amp;$D$117&amp;".")</f>
        <v>Cambio porcentual con relación al 2024.</v>
      </c>
      <c r="C567" s="273"/>
      <c r="D567" s="45" t="str">
        <f>IF(E567&gt;=0,"Aumento","Disminución")</f>
        <v>Aumento</v>
      </c>
      <c r="E567" s="76">
        <f>+E565/D565</f>
        <v>0.30090472218822195</v>
      </c>
      <c r="J567" s="2"/>
      <c r="K567" s="39"/>
      <c r="N567" s="39"/>
      <c r="R567" s="40"/>
      <c r="S567" s="40"/>
      <c r="T567" s="40"/>
      <c r="U567" s="40"/>
      <c r="V567" s="40"/>
      <c r="W567" s="40"/>
      <c r="X567" s="40"/>
      <c r="Y567" s="40"/>
      <c r="Z567" s="39"/>
    </row>
    <row r="568" spans="2:27" x14ac:dyDescent="0.25">
      <c r="B568" s="50"/>
      <c r="C568" s="50"/>
      <c r="D568" s="239"/>
      <c r="E568" s="51"/>
    </row>
    <row r="569" spans="2:27" ht="44.25" customHeight="1" x14ac:dyDescent="0.25">
      <c r="B569" s="50"/>
      <c r="C569" s="50"/>
      <c r="D569" s="239"/>
      <c r="E569" s="51"/>
    </row>
    <row r="570" spans="2:27" x14ac:dyDescent="0.25">
      <c r="B570" s="52" t="s">
        <v>312</v>
      </c>
    </row>
    <row r="571" spans="2:27" x14ac:dyDescent="0.25">
      <c r="B571" s="52" t="s">
        <v>313</v>
      </c>
    </row>
    <row r="572" spans="2:27" x14ac:dyDescent="0.25">
      <c r="B572" s="276" t="str">
        <f>("Un detalle del "&amp;B571&amp;" al "&amp;[1]BALANZA!$B$3&amp;" "&amp;[1]BALANZA!$C$3&amp;" es como se detalla a continuación:")</f>
        <v>Un detalle del Gasto de Depreciación y Amortización al 30 de junio del 2025 - 2024 es como se detalla a continuación:</v>
      </c>
      <c r="C572" s="277"/>
      <c r="D572" s="277"/>
      <c r="E572" s="277"/>
    </row>
    <row r="573" spans="2:27" x14ac:dyDescent="0.25">
      <c r="B573" s="10"/>
    </row>
    <row r="574" spans="2:27" x14ac:dyDescent="0.25">
      <c r="B574" s="164" t="s">
        <v>299</v>
      </c>
      <c r="C574" s="165">
        <f>+C557</f>
        <v>2025</v>
      </c>
      <c r="D574" s="165">
        <f>+D557</f>
        <v>2024</v>
      </c>
      <c r="E574" s="190" t="s">
        <v>219</v>
      </c>
    </row>
    <row r="575" spans="2:27" x14ac:dyDescent="0.25">
      <c r="B575" s="146" t="s">
        <v>314</v>
      </c>
      <c r="C575" s="237">
        <f>+[1]nota13!K29</f>
        <v>23298349.669999983</v>
      </c>
      <c r="D575" s="28">
        <v>28046103.980000004</v>
      </c>
      <c r="E575" s="69">
        <f>+C575-D575</f>
        <v>-4747754.310000021</v>
      </c>
    </row>
    <row r="576" spans="2:27" x14ac:dyDescent="0.25">
      <c r="B576" s="146" t="s">
        <v>315</v>
      </c>
      <c r="C576" s="237">
        <f>+'[1]BALANZA G'!C301</f>
        <v>52140</v>
      </c>
      <c r="D576" s="237">
        <v>87582.75</v>
      </c>
      <c r="E576" s="69">
        <f>+C576-D576</f>
        <v>-35442.75</v>
      </c>
    </row>
    <row r="577" spans="2:21" x14ac:dyDescent="0.25">
      <c r="B577" s="146"/>
      <c r="C577" s="237"/>
      <c r="D577" s="28"/>
      <c r="E577" s="69">
        <f>+C577-D577</f>
        <v>0</v>
      </c>
    </row>
    <row r="578" spans="2:21" x14ac:dyDescent="0.25">
      <c r="B578" s="226" t="s">
        <v>316</v>
      </c>
      <c r="C578" s="37">
        <f>SUM(C575:C577)</f>
        <v>23350489.669999983</v>
      </c>
      <c r="D578" s="81">
        <f>SUM(D575:D577)</f>
        <v>28133686.730000004</v>
      </c>
      <c r="E578" s="37">
        <f>SUM(E575:E577)</f>
        <v>-4783197.060000021</v>
      </c>
    </row>
    <row r="579" spans="2:21" x14ac:dyDescent="0.25">
      <c r="B579" s="238"/>
      <c r="C579" s="240">
        <f>+C578-[1]ERF!B20</f>
        <v>0</v>
      </c>
      <c r="D579" s="240">
        <f>+D578-[1]ERF!C20</f>
        <v>0</v>
      </c>
      <c r="E579" s="75"/>
    </row>
    <row r="580" spans="2:21" x14ac:dyDescent="0.25">
      <c r="B580" s="272" t="str">
        <f>("Cambio porcentual con relación al "&amp;$D$117&amp;".")</f>
        <v>Cambio porcentual con relación al 2024.</v>
      </c>
      <c r="C580" s="273"/>
      <c r="D580" s="45" t="str">
        <f>IF(E580&gt;=0,"Aumento","Disminución")</f>
        <v>Disminución</v>
      </c>
      <c r="E580" s="76">
        <f>+E578/D578</f>
        <v>-0.17001671717981842</v>
      </c>
    </row>
    <row r="581" spans="2:21" x14ac:dyDescent="0.25">
      <c r="B581" s="50"/>
      <c r="C581" s="50"/>
      <c r="D581" s="239"/>
      <c r="E581" s="51"/>
    </row>
    <row r="582" spans="2:21" x14ac:dyDescent="0.25">
      <c r="B582" s="50"/>
      <c r="C582" s="50"/>
      <c r="D582" s="239"/>
      <c r="E582" s="51"/>
    </row>
    <row r="583" spans="2:21" ht="11.25" customHeight="1" x14ac:dyDescent="0.25">
      <c r="B583" s="50"/>
      <c r="C583" s="241"/>
      <c r="D583" s="239"/>
      <c r="E583" s="51"/>
    </row>
    <row r="584" spans="2:21" ht="9.75" customHeight="1" x14ac:dyDescent="0.25">
      <c r="B584" s="50"/>
      <c r="C584" s="50"/>
      <c r="D584" s="239"/>
      <c r="E584" s="51"/>
    </row>
    <row r="585" spans="2:21" ht="56.25" customHeight="1" x14ac:dyDescent="0.25">
      <c r="B585" s="50"/>
      <c r="C585" s="50"/>
      <c r="D585" s="239"/>
      <c r="E585" s="51"/>
    </row>
    <row r="586" spans="2:21" ht="16.5" customHeight="1" x14ac:dyDescent="0.25">
      <c r="B586" s="242" t="s">
        <v>317</v>
      </c>
    </row>
    <row r="587" spans="2:21" x14ac:dyDescent="0.25">
      <c r="B587" s="242" t="s">
        <v>318</v>
      </c>
    </row>
    <row r="588" spans="2:21" ht="18.75" customHeight="1" x14ac:dyDescent="0.25">
      <c r="B588" s="276" t="str">
        <f>("Un detalle de "&amp;B587&amp;" al "&amp;[1]BALANZA!$B$3&amp;" "&amp;[1]BALANZA!$C$3&amp;" es como se detalla a continuación:")</f>
        <v>Un detalle de Otros gastos  al 30 de junio del 2025 - 2024 es como se detalla a continuación:</v>
      </c>
      <c r="C588" s="277"/>
      <c r="D588" s="277"/>
      <c r="E588" s="277"/>
    </row>
    <row r="589" spans="2:21" ht="8.25" customHeight="1" x14ac:dyDescent="0.25">
      <c r="B589" s="10"/>
      <c r="G589" s="8"/>
    </row>
    <row r="590" spans="2:21" ht="18.75" customHeight="1" x14ac:dyDescent="0.25">
      <c r="B590" s="23" t="s">
        <v>319</v>
      </c>
      <c r="C590" s="24">
        <f>+[1]BALANZA!B4</f>
        <v>2025</v>
      </c>
      <c r="D590" s="24">
        <f>+[1]BALANZA!C4</f>
        <v>2024</v>
      </c>
      <c r="E590" s="190" t="s">
        <v>219</v>
      </c>
    </row>
    <row r="591" spans="2:21" x14ac:dyDescent="0.25">
      <c r="B591" s="103" t="s">
        <v>320</v>
      </c>
      <c r="C591" s="243">
        <f>+'[1]BALANZA G'!C203+'[1]BALANZA G'!C204+'[1]BALANZA G'!C205+'[1]BALANZA G'!C206</f>
        <v>1505816.9800000002</v>
      </c>
      <c r="D591" s="243">
        <v>1388336.5899999999</v>
      </c>
      <c r="E591" s="34">
        <f>+C591-D591</f>
        <v>117480.39000000036</v>
      </c>
      <c r="I591" s="78"/>
      <c r="K591" s="2">
        <v>2898777.65</v>
      </c>
      <c r="U591" s="196"/>
    </row>
    <row r="592" spans="2:21" x14ac:dyDescent="0.25">
      <c r="B592" s="103" t="s">
        <v>321</v>
      </c>
      <c r="C592" s="243">
        <f>+'[1]BALANZA G'!C207</f>
        <v>37629657.270000003</v>
      </c>
      <c r="D592" s="243">
        <v>31698102.710000001</v>
      </c>
      <c r="E592" s="34">
        <f>+C592-D592</f>
        <v>5931554.5600000024</v>
      </c>
      <c r="I592" s="78"/>
      <c r="K592" s="2">
        <v>63713429.090000004</v>
      </c>
      <c r="U592" s="196"/>
    </row>
    <row r="593" spans="2:26" x14ac:dyDescent="0.25">
      <c r="B593" s="146" t="s">
        <v>322</v>
      </c>
      <c r="C593" s="243">
        <f>+'[1]BALANZA G'!C211+'[1]BALANZA G'!C208+'[1]BALANZA G'!C209</f>
        <v>437642.55</v>
      </c>
      <c r="D593" s="243">
        <v>412807.13</v>
      </c>
      <c r="E593" s="34">
        <f t="shared" ref="E593:E599" si="6">+C593-D593</f>
        <v>24835.419999999984</v>
      </c>
      <c r="I593" s="78"/>
      <c r="K593" s="2">
        <v>1132137.44</v>
      </c>
      <c r="U593" s="196"/>
    </row>
    <row r="594" spans="2:26" x14ac:dyDescent="0.25">
      <c r="B594" s="146" t="s">
        <v>323</v>
      </c>
      <c r="C594" s="243">
        <f>+'[1]BALANZA G'!C213+'[1]BALANZA G'!C212+'[1]BALANZA G'!C210</f>
        <v>380150</v>
      </c>
      <c r="D594" s="243">
        <v>287800</v>
      </c>
      <c r="E594" s="34">
        <f t="shared" si="6"/>
        <v>92350</v>
      </c>
      <c r="I594" s="78"/>
      <c r="K594" s="2">
        <v>925630</v>
      </c>
      <c r="U594" s="196"/>
    </row>
    <row r="595" spans="2:26" x14ac:dyDescent="0.25">
      <c r="B595" s="146" t="s">
        <v>324</v>
      </c>
      <c r="C595" s="243">
        <f>+'[1]BALANZA G'!C216+'[1]BALANZA G'!C215+'[1]BALANZA G'!C214</f>
        <v>0</v>
      </c>
      <c r="D595" s="243">
        <v>175</v>
      </c>
      <c r="E595" s="34">
        <f t="shared" si="6"/>
        <v>-175</v>
      </c>
      <c r="I595" s="78"/>
      <c r="K595" s="2">
        <v>175</v>
      </c>
      <c r="U595" s="196"/>
    </row>
    <row r="596" spans="2:26" x14ac:dyDescent="0.25">
      <c r="B596" s="103" t="s">
        <v>325</v>
      </c>
      <c r="C596" s="243">
        <f>+'[1]BALANZA G'!C218+'[1]BALANZA G'!C219+'[1]BALANZA G'!C221+'[1]BALANZA G'!C222+'[1]BALANZA G'!C223+'[1]BALANZA G'!C220+'[1]BALANZA G'!C224</f>
        <v>1702439.73</v>
      </c>
      <c r="D596" s="243">
        <v>657293.1</v>
      </c>
      <c r="E596" s="34">
        <f t="shared" si="6"/>
        <v>1045146.63</v>
      </c>
      <c r="G596" s="195">
        <f>+K596-D596</f>
        <v>2494555.48</v>
      </c>
      <c r="I596" s="78"/>
      <c r="K596" s="2">
        <v>3151848.58</v>
      </c>
      <c r="U596" s="196"/>
    </row>
    <row r="597" spans="2:26" x14ac:dyDescent="0.25">
      <c r="B597" s="103" t="s">
        <v>326</v>
      </c>
      <c r="C597" s="243">
        <f>+'[1]BALANZA G'!C225+'[1]BALANZA G'!C226</f>
        <v>326586.12</v>
      </c>
      <c r="D597" s="243">
        <v>314024.15999999997</v>
      </c>
      <c r="E597" s="34">
        <f t="shared" si="6"/>
        <v>12561.960000000021</v>
      </c>
      <c r="I597" s="78"/>
      <c r="K597" s="2">
        <v>657127.22</v>
      </c>
      <c r="U597" s="196"/>
    </row>
    <row r="598" spans="2:26" ht="30" x14ac:dyDescent="0.25">
      <c r="B598" s="146" t="s">
        <v>327</v>
      </c>
      <c r="C598" s="243">
        <f>+'[1]BALANZA G'!C228+'[1]BALANZA G'!C229+'[1]BALANZA G'!C230+'[1]BALANZA G'!C231+'[1]BALANZA G'!C232+'[1]BALANZA G'!C234+'[1]BALANZA G'!C236+'[1]BALANZA G'!C237+'[1]BALANZA G'!C238+'[1]BALANZA G'!C239+'[1]BALANZA G'!C241+'[1]BALANZA G'!C242+'[1]BALANZA G'!C243+'[1]BALANZA G'!C233</f>
        <v>5199128.209999999</v>
      </c>
      <c r="D598" s="243">
        <v>8114402.2300000004</v>
      </c>
      <c r="E598" s="244">
        <f t="shared" si="6"/>
        <v>-2915274.0200000014</v>
      </c>
      <c r="I598" s="78"/>
      <c r="K598" s="2">
        <v>9859491.7400000002</v>
      </c>
      <c r="U598" s="196"/>
    </row>
    <row r="599" spans="2:26" ht="21.75" customHeight="1" x14ac:dyDescent="0.25">
      <c r="B599" s="146" t="s">
        <v>328</v>
      </c>
      <c r="C599" s="243">
        <f>+'[1]BALANZA G'!C245+'[1]BALANZA G'!C246+'[1]BALANZA G'!C248+'[1]BALANZA G'!C249+'[1]BALANZA G'!C250+'[1]BALANZA G'!C252+'[1]BALANZA G'!C197+'[1]BALANZA G'!C198+'[1]BALANZA G'!C202+'[1]BALANZA G'!C251</f>
        <v>4150192.21</v>
      </c>
      <c r="D599" s="243">
        <v>2388000.0699999998</v>
      </c>
      <c r="E599" s="245">
        <f t="shared" si="6"/>
        <v>1762192.1400000001</v>
      </c>
      <c r="I599" s="78"/>
      <c r="K599" s="2">
        <v>7481995.21</v>
      </c>
      <c r="U599" s="196"/>
    </row>
    <row r="600" spans="2:26" ht="18.75" customHeight="1" x14ac:dyDescent="0.25">
      <c r="B600" s="71" t="s">
        <v>329</v>
      </c>
      <c r="C600" s="37">
        <f>SUM(C591:C599)</f>
        <v>51331613.069999993</v>
      </c>
      <c r="D600" s="96">
        <f>SUM(D591:D599)</f>
        <v>45260940.990000002</v>
      </c>
      <c r="E600" s="246">
        <f>SUM(E591:E599)</f>
        <v>6070672.0800000019</v>
      </c>
      <c r="K600" s="2">
        <v>89820611.929999992</v>
      </c>
    </row>
    <row r="601" spans="2:26" ht="12.75" customHeight="1" x14ac:dyDescent="0.25">
      <c r="B601" s="10" t="s">
        <v>112</v>
      </c>
      <c r="C601" s="228">
        <f>+C600-[1]ERF!B22</f>
        <v>0</v>
      </c>
      <c r="J601" s="39"/>
    </row>
    <row r="602" spans="2:26" s="35" customFormat="1" x14ac:dyDescent="0.25">
      <c r="B602" s="272" t="str">
        <f>("Cambio porcentual con relación al "&amp;$D$117&amp;".")</f>
        <v>Cambio porcentual con relación al 2024.</v>
      </c>
      <c r="C602" s="273"/>
      <c r="D602" s="45" t="str">
        <f>IF(E602&gt;=0,"Aumento","Disminución")</f>
        <v>Aumento</v>
      </c>
      <c r="E602" s="76">
        <f>+E600/D600</f>
        <v>0.13412606868560825</v>
      </c>
      <c r="J602" s="2"/>
      <c r="K602" s="39"/>
      <c r="N602" s="39"/>
      <c r="R602" s="40"/>
      <c r="S602" s="40"/>
      <c r="T602" s="40"/>
      <c r="U602" s="40"/>
      <c r="V602" s="40"/>
      <c r="W602" s="40"/>
      <c r="X602" s="40"/>
      <c r="Y602" s="40"/>
      <c r="Z602" s="39"/>
    </row>
    <row r="603" spans="2:26" s="35" customFormat="1" x14ac:dyDescent="0.25">
      <c r="B603" s="50"/>
      <c r="C603" s="50"/>
      <c r="D603" s="48"/>
      <c r="E603" s="51"/>
      <c r="J603" s="2"/>
      <c r="K603" s="39"/>
      <c r="N603" s="39"/>
      <c r="R603" s="40"/>
      <c r="S603" s="40"/>
      <c r="T603" s="40"/>
      <c r="U603" s="40"/>
      <c r="V603" s="40"/>
      <c r="W603" s="40"/>
      <c r="X603" s="40"/>
      <c r="Y603" s="40"/>
      <c r="Z603" s="39"/>
    </row>
    <row r="604" spans="2:26" s="35" customFormat="1" x14ac:dyDescent="0.25">
      <c r="B604" s="50"/>
      <c r="C604" s="50"/>
      <c r="D604" s="48"/>
      <c r="E604" s="51"/>
      <c r="J604" s="2"/>
      <c r="K604" s="39"/>
      <c r="N604" s="39"/>
      <c r="R604" s="40"/>
      <c r="S604" s="40"/>
      <c r="T604" s="40"/>
      <c r="U604" s="40"/>
      <c r="V604" s="40"/>
      <c r="W604" s="40"/>
      <c r="X604" s="40"/>
      <c r="Y604" s="40"/>
      <c r="Z604" s="39"/>
    </row>
    <row r="605" spans="2:26" ht="10.5" customHeight="1" x14ac:dyDescent="0.25">
      <c r="B605" s="50"/>
      <c r="C605" s="50"/>
      <c r="D605" s="239"/>
      <c r="E605" s="51"/>
    </row>
    <row r="606" spans="2:26" x14ac:dyDescent="0.25">
      <c r="B606" s="52" t="s">
        <v>330</v>
      </c>
    </row>
    <row r="607" spans="2:26" ht="21" customHeight="1" x14ac:dyDescent="0.25">
      <c r="B607" s="52" t="s">
        <v>331</v>
      </c>
    </row>
    <row r="608" spans="2:26" ht="30" customHeight="1" x14ac:dyDescent="0.25">
      <c r="B608" s="276" t="str">
        <f>("Un detalle del "&amp;B607&amp;" al "&amp;[1]BALANZA!$B$3&amp;" "&amp;[1]BALANZA!$C$3&amp;" es como se detalla a continuación:")</f>
        <v>Un detalle del Gastos Financieros  al 30 de junio del 2025 - 2024 es como se detalla a continuación:</v>
      </c>
      <c r="C608" s="277"/>
      <c r="D608" s="277"/>
      <c r="E608" s="277"/>
    </row>
    <row r="609" spans="2:26" ht="13.5" customHeight="1" x14ac:dyDescent="0.25">
      <c r="B609" s="1"/>
    </row>
    <row r="610" spans="2:26" x14ac:dyDescent="0.25">
      <c r="B610" s="26" t="str">
        <f>+B590</f>
        <v>PARTIDA</v>
      </c>
      <c r="C610" s="247">
        <f>+C590</f>
        <v>2025</v>
      </c>
      <c r="D610" s="247">
        <f>+D590</f>
        <v>2024</v>
      </c>
      <c r="E610" s="190" t="s">
        <v>219</v>
      </c>
    </row>
    <row r="611" spans="2:26" x14ac:dyDescent="0.25">
      <c r="B611" s="146" t="s">
        <v>332</v>
      </c>
      <c r="C611" s="28">
        <f>+'[1]BALANZA G'!C247</f>
        <v>357100.02</v>
      </c>
      <c r="D611" s="28">
        <v>354384.54</v>
      </c>
      <c r="E611" s="34">
        <f>+C611-D611</f>
        <v>2715.4800000000396</v>
      </c>
    </row>
    <row r="612" spans="2:26" hidden="1" x14ac:dyDescent="0.25">
      <c r="B612" s="146" t="s">
        <v>333</v>
      </c>
      <c r="C612" s="28">
        <f>+'[1]BALANZA G'!C253</f>
        <v>0</v>
      </c>
      <c r="D612" s="28">
        <f>+'[1]BALANZA G'!D253</f>
        <v>0</v>
      </c>
      <c r="E612" s="34">
        <f>+C612-D612</f>
        <v>0</v>
      </c>
    </row>
    <row r="613" spans="2:26" x14ac:dyDescent="0.25">
      <c r="B613" s="226" t="s">
        <v>334</v>
      </c>
      <c r="C613" s="81">
        <f>SUM(C611:C612)</f>
        <v>357100.02</v>
      </c>
      <c r="D613" s="81">
        <f>SUM(D611:D612)</f>
        <v>354384.54</v>
      </c>
      <c r="E613" s="81">
        <f>SUM(E611:E612)</f>
        <v>2715.4800000000396</v>
      </c>
    </row>
    <row r="614" spans="2:26" x14ac:dyDescent="0.25">
      <c r="B614" s="248"/>
      <c r="C614" s="90">
        <f>+C613-[1]ERF!B23</f>
        <v>0</v>
      </c>
      <c r="D614" s="91"/>
      <c r="E614" s="92"/>
      <c r="J614" s="39"/>
    </row>
    <row r="615" spans="2:26" s="35" customFormat="1" x14ac:dyDescent="0.25">
      <c r="B615" s="272" t="str">
        <f>("Cambio porcentual con relación al "&amp;$D$117&amp;".")</f>
        <v>Cambio porcentual con relación al 2024.</v>
      </c>
      <c r="C615" s="273"/>
      <c r="D615" s="45" t="str">
        <f>IF(E615&gt;=0,"Aumento","Disminución")</f>
        <v>Aumento</v>
      </c>
      <c r="E615" s="76">
        <f>+E613/D613</f>
        <v>7.6625238787223614E-3</v>
      </c>
      <c r="J615" s="2"/>
      <c r="K615" s="39"/>
      <c r="N615" s="39"/>
      <c r="R615" s="40"/>
      <c r="S615" s="40"/>
      <c r="T615" s="40"/>
      <c r="U615" s="40"/>
      <c r="V615" s="40"/>
      <c r="W615" s="40"/>
      <c r="X615" s="40"/>
      <c r="Y615" s="40"/>
      <c r="Z615" s="39"/>
    </row>
    <row r="616" spans="2:26" x14ac:dyDescent="0.25">
      <c r="B616" s="50"/>
      <c r="C616" s="50"/>
      <c r="D616" s="239"/>
      <c r="E616" s="51"/>
    </row>
    <row r="617" spans="2:26" x14ac:dyDescent="0.25">
      <c r="B617" s="52" t="s">
        <v>335</v>
      </c>
      <c r="C617" s="50"/>
      <c r="D617" s="239"/>
      <c r="E617" s="51"/>
    </row>
    <row r="618" spans="2:26" x14ac:dyDescent="0.25">
      <c r="B618" s="52" t="s">
        <v>336</v>
      </c>
      <c r="C618" s="50"/>
      <c r="D618" s="239"/>
      <c r="E618" s="51"/>
    </row>
    <row r="619" spans="2:26" ht="15" customHeight="1" x14ac:dyDescent="0.25">
      <c r="B619" s="276" t="str">
        <f>("Un detalle de "&amp;B618&amp;" al "&amp;[1]BALANZA!$B$3&amp;" "&amp;[1]BALANZA!$C$3&amp;" es como se detalla a continuación:")</f>
        <v>Un detalle de Compromisos y contingencias al 30 de junio del 2025 - 2024 es como se detalla a continuación:</v>
      </c>
      <c r="C619" s="277"/>
      <c r="D619" s="277"/>
      <c r="E619" s="277"/>
    </row>
    <row r="620" spans="2:26" ht="41.25" customHeight="1" x14ac:dyDescent="0.25">
      <c r="B620" s="271" t="str">
        <f>("La facturación historica no cobrada a la fecha de corte, para el "&amp;C622&amp;" presenta un monto de RD$"&amp;R625&amp;" y para el "&amp;D622&amp;" presenta un monto de RD$"&amp;R626&amp;"." )</f>
        <v>La facturación historica no cobrada a la fecha de corte, para el 2025 presenta un monto de RD$513,985,120.94 y para el 2024 presenta un monto de RD$538,943,497.59.00.</v>
      </c>
      <c r="C620" s="271"/>
      <c r="D620" s="271"/>
      <c r="E620" s="271"/>
    </row>
    <row r="621" spans="2:26" ht="13.5" customHeight="1" x14ac:dyDescent="0.25">
      <c r="B621" s="271"/>
      <c r="C621" s="271"/>
      <c r="D621" s="271"/>
      <c r="E621" s="271"/>
    </row>
    <row r="622" spans="2:26" x14ac:dyDescent="0.25">
      <c r="B622" s="247" t="str">
        <f>+B610</f>
        <v>PARTIDA</v>
      </c>
      <c r="C622" s="247">
        <f>+C610</f>
        <v>2025</v>
      </c>
      <c r="D622" s="247">
        <f>+D610</f>
        <v>2024</v>
      </c>
      <c r="E622" s="190" t="s">
        <v>219</v>
      </c>
    </row>
    <row r="623" spans="2:26" x14ac:dyDescent="0.25">
      <c r="B623" s="146" t="s">
        <v>337</v>
      </c>
      <c r="C623" s="237">
        <f>+C639</f>
        <v>1817264</v>
      </c>
      <c r="D623" s="237">
        <v>2683912</v>
      </c>
      <c r="E623" s="69">
        <f>+C623-D623</f>
        <v>-866648</v>
      </c>
    </row>
    <row r="624" spans="2:26" x14ac:dyDescent="0.25">
      <c r="B624" s="146" t="s">
        <v>338</v>
      </c>
      <c r="C624" s="237">
        <f>+C650-C623</f>
        <v>512167856.94</v>
      </c>
      <c r="D624" s="237">
        <v>536259585.59000003</v>
      </c>
      <c r="E624" s="69">
        <f>+C624-D624</f>
        <v>-24091728.650000036</v>
      </c>
    </row>
    <row r="625" spans="2:26" x14ac:dyDescent="0.25">
      <c r="B625" s="226" t="s">
        <v>339</v>
      </c>
      <c r="C625" s="37">
        <f>SUM(C623:C624)</f>
        <v>513985120.94</v>
      </c>
      <c r="D625" s="37">
        <f>SUM(D623:D624)</f>
        <v>538943497.59000003</v>
      </c>
      <c r="E625" s="37">
        <f>SUM(E623:E624)</f>
        <v>-24958376.650000036</v>
      </c>
      <c r="R625" s="3" t="str">
        <f>+CONCATENATE(S625,",",T625,",",U625,V625,AB625)</f>
        <v>513,985,120.94</v>
      </c>
      <c r="S625" s="3" t="str">
        <f>MID(C625,1,3)</f>
        <v>513</v>
      </c>
      <c r="T625" s="3" t="str">
        <f>MID(C625,4,3)</f>
        <v>985</v>
      </c>
      <c r="U625" s="3" t="str">
        <f>MID(C625,7,3)</f>
        <v>120</v>
      </c>
      <c r="V625" s="3" t="str">
        <f>MID(C625,10,3)</f>
        <v>.94</v>
      </c>
    </row>
    <row r="626" spans="2:26" x14ac:dyDescent="0.25">
      <c r="B626" s="248"/>
      <c r="C626" s="249"/>
      <c r="D626" s="91"/>
      <c r="E626" s="92"/>
      <c r="J626" s="39"/>
      <c r="R626" s="3" t="str">
        <f>+CONCATENATE(S626,",",T626,",",U626,V626,AB626,".00")</f>
        <v>538,943,497.59.00</v>
      </c>
      <c r="S626" s="3" t="str">
        <f>MID(D625,1,3)</f>
        <v>538</v>
      </c>
      <c r="T626" s="3" t="str">
        <f>MID(D625,4,3)</f>
        <v>943</v>
      </c>
      <c r="U626" s="3" t="str">
        <f>MID(D625,7,3)</f>
        <v>497</v>
      </c>
      <c r="V626" s="3" t="str">
        <f>MID(D625,10,3)</f>
        <v>.59</v>
      </c>
    </row>
    <row r="627" spans="2:26" s="35" customFormat="1" x14ac:dyDescent="0.25">
      <c r="B627" s="272" t="str">
        <f>("Cambio porcentual con relación al "&amp;$D$117&amp;".")</f>
        <v>Cambio porcentual con relación al 2024.</v>
      </c>
      <c r="C627" s="273"/>
      <c r="D627" s="250" t="str">
        <f>IF(E627&gt;=0,"Aumento","Disminución")</f>
        <v>Disminución</v>
      </c>
      <c r="E627" s="251">
        <f>IFERROR((+E625/D625),0)</f>
        <v>-4.6309820531478162E-2</v>
      </c>
      <c r="J627" s="2"/>
      <c r="K627" s="39"/>
      <c r="N627" s="39"/>
      <c r="R627" s="40"/>
      <c r="S627" s="40"/>
      <c r="T627" s="40"/>
      <c r="U627" s="40"/>
      <c r="V627" s="40"/>
      <c r="W627" s="40"/>
      <c r="X627" s="40"/>
      <c r="Y627" s="40"/>
      <c r="Z627" s="39"/>
    </row>
    <row r="628" spans="2:26" s="35" customFormat="1" x14ac:dyDescent="0.25">
      <c r="B628" s="47"/>
      <c r="C628" s="47"/>
      <c r="D628" s="252"/>
      <c r="E628" s="253"/>
      <c r="J628" s="2"/>
      <c r="K628" s="39"/>
      <c r="N628" s="39"/>
      <c r="R628" s="40"/>
      <c r="S628" s="40"/>
      <c r="T628" s="40"/>
      <c r="U628" s="40"/>
      <c r="V628" s="40"/>
      <c r="W628" s="40"/>
      <c r="X628" s="40"/>
      <c r="Y628" s="40"/>
      <c r="Z628" s="39"/>
    </row>
    <row r="629" spans="2:26" s="35" customFormat="1" x14ac:dyDescent="0.25">
      <c r="B629" s="47"/>
      <c r="C629" s="47"/>
      <c r="D629" s="252"/>
      <c r="E629" s="253"/>
      <c r="J629" s="2"/>
      <c r="K629" s="39"/>
      <c r="N629" s="39"/>
      <c r="R629" s="40"/>
      <c r="S629" s="40"/>
      <c r="T629" s="40"/>
      <c r="U629" s="40"/>
      <c r="V629" s="40"/>
      <c r="W629" s="40"/>
      <c r="X629" s="40"/>
      <c r="Y629" s="40"/>
      <c r="Z629" s="39"/>
    </row>
    <row r="630" spans="2:26" ht="13.5" customHeight="1" x14ac:dyDescent="0.25">
      <c r="B630" s="12"/>
      <c r="C630" s="12"/>
      <c r="D630" s="12"/>
      <c r="E630" s="12"/>
    </row>
    <row r="631" spans="2:26" ht="14.25" customHeight="1" x14ac:dyDescent="0.25"/>
    <row r="632" spans="2:26" ht="41.25" customHeight="1" x14ac:dyDescent="0.25"/>
    <row r="633" spans="2:26" ht="70.5" customHeight="1" x14ac:dyDescent="0.25">
      <c r="B633" s="274" t="s">
        <v>340</v>
      </c>
      <c r="C633" s="274"/>
      <c r="D633" s="274"/>
      <c r="E633" s="274"/>
    </row>
    <row r="634" spans="2:26" s="4" customFormat="1" ht="42.75" customHeight="1" x14ac:dyDescent="0.2">
      <c r="B634" s="275" t="str">
        <f>("La informacion de  Cuentas por Cobrar según el Sistema Comercial al "&amp;[1]BALANZA!B3&amp;" "&amp;[1]BALANZA!C3&amp;" se detalla a continuación")</f>
        <v>La informacion de  Cuentas por Cobrar según el Sistema Comercial al 30 de junio del 2025 - 2024 se detalla a continuación</v>
      </c>
      <c r="C634" s="275"/>
      <c r="D634" s="275"/>
      <c r="E634" s="275"/>
      <c r="J634" s="5"/>
      <c r="K634" s="5"/>
      <c r="N634" s="5"/>
      <c r="R634" s="254"/>
      <c r="S634" s="254"/>
      <c r="T634" s="254"/>
      <c r="U634" s="254"/>
      <c r="V634" s="254"/>
      <c r="W634" s="254"/>
      <c r="X634" s="254"/>
      <c r="Y634" s="254"/>
      <c r="Z634" s="5"/>
    </row>
    <row r="635" spans="2:26" x14ac:dyDescent="0.25">
      <c r="B635" s="190" t="str">
        <f>+B622</f>
        <v>PARTIDA</v>
      </c>
      <c r="C635" s="190">
        <f>+C622</f>
        <v>2025</v>
      </c>
      <c r="D635" s="190">
        <f>+D622</f>
        <v>2024</v>
      </c>
      <c r="E635" s="255"/>
    </row>
    <row r="636" spans="2:26" x14ac:dyDescent="0.25">
      <c r="B636" s="204"/>
      <c r="C636" s="34"/>
      <c r="D636" s="256"/>
    </row>
    <row r="637" spans="2:26" x14ac:dyDescent="0.25">
      <c r="B637" s="204" t="s">
        <v>341</v>
      </c>
      <c r="C637" s="34">
        <v>243262</v>
      </c>
      <c r="D637" s="167">
        <v>244077</v>
      </c>
    </row>
    <row r="638" spans="2:26" x14ac:dyDescent="0.25">
      <c r="B638" s="204" t="s">
        <v>342</v>
      </c>
      <c r="C638" s="34">
        <v>2000</v>
      </c>
      <c r="D638" s="167">
        <v>2000</v>
      </c>
    </row>
    <row r="639" spans="2:26" x14ac:dyDescent="0.25">
      <c r="B639" s="204" t="s">
        <v>343</v>
      </c>
      <c r="C639" s="34">
        <f>980788+836476</f>
        <v>1817264</v>
      </c>
      <c r="D639" s="167">
        <v>2683912</v>
      </c>
    </row>
    <row r="640" spans="2:26" x14ac:dyDescent="0.25">
      <c r="B640" s="204" t="s">
        <v>344</v>
      </c>
      <c r="C640" s="34">
        <v>590249</v>
      </c>
      <c r="D640" s="167">
        <v>751769</v>
      </c>
    </row>
    <row r="641" spans="2:5" x14ac:dyDescent="0.25">
      <c r="B641" s="204" t="s">
        <v>345</v>
      </c>
      <c r="C641" s="34">
        <v>635899</v>
      </c>
      <c r="D641" s="167">
        <v>635899</v>
      </c>
    </row>
    <row r="642" spans="2:5" x14ac:dyDescent="0.25">
      <c r="B642" s="257" t="s">
        <v>346</v>
      </c>
      <c r="C642" s="258">
        <f>SUM(C637:C641)</f>
        <v>3288674</v>
      </c>
      <c r="D642" s="258">
        <f>SUM(D637:D641)</f>
        <v>4317657</v>
      </c>
    </row>
    <row r="643" spans="2:5" x14ac:dyDescent="0.25">
      <c r="B643" s="204" t="s">
        <v>341</v>
      </c>
      <c r="C643" s="34">
        <v>24407875</v>
      </c>
      <c r="D643" s="167">
        <v>27549182</v>
      </c>
    </row>
    <row r="644" spans="2:5" x14ac:dyDescent="0.25">
      <c r="B644" s="204" t="s">
        <v>342</v>
      </c>
      <c r="C644" s="34">
        <v>90874</v>
      </c>
      <c r="D644" s="167">
        <v>74458</v>
      </c>
    </row>
    <row r="645" spans="2:5" x14ac:dyDescent="0.25">
      <c r="B645" s="204" t="s">
        <v>347</v>
      </c>
      <c r="C645" s="34">
        <v>267076</v>
      </c>
      <c r="D645" s="167">
        <v>549136</v>
      </c>
    </row>
    <row r="646" spans="2:5" x14ac:dyDescent="0.25">
      <c r="B646" s="204" t="s">
        <v>348</v>
      </c>
      <c r="C646" s="34">
        <v>3804338</v>
      </c>
      <c r="D646" s="167">
        <v>3898647</v>
      </c>
    </row>
    <row r="647" spans="2:5" x14ac:dyDescent="0.25">
      <c r="B647" s="204" t="s">
        <v>344</v>
      </c>
      <c r="C647" s="34">
        <v>197155719.75</v>
      </c>
      <c r="D647" s="167">
        <v>218891999.40000001</v>
      </c>
    </row>
    <row r="648" spans="2:5" x14ac:dyDescent="0.25">
      <c r="B648" s="204" t="s">
        <v>345</v>
      </c>
      <c r="C648" s="34">
        <v>284970564.19</v>
      </c>
      <c r="D648" s="167">
        <v>283662418.19</v>
      </c>
    </row>
    <row r="649" spans="2:5" x14ac:dyDescent="0.25">
      <c r="B649" s="257" t="s">
        <v>346</v>
      </c>
      <c r="C649" s="258">
        <f>SUM(C643:C648)</f>
        <v>510696446.94</v>
      </c>
      <c r="D649" s="258">
        <f>SUM(D643:D648)</f>
        <v>534625840.59000003</v>
      </c>
    </row>
    <row r="650" spans="2:5" x14ac:dyDescent="0.25">
      <c r="B650" s="257" t="s">
        <v>349</v>
      </c>
      <c r="C650" s="258">
        <f>+C642+C649</f>
        <v>513985120.94</v>
      </c>
      <c r="D650" s="258">
        <f>+D642+D649</f>
        <v>538943497.59000003</v>
      </c>
    </row>
    <row r="651" spans="2:5" x14ac:dyDescent="0.25">
      <c r="B651" s="259"/>
      <c r="E651" s="255"/>
    </row>
    <row r="652" spans="2:5" x14ac:dyDescent="0.25">
      <c r="B652" s="259"/>
      <c r="C652" s="260"/>
      <c r="E652" s="261"/>
    </row>
    <row r="653" spans="2:5" x14ac:dyDescent="0.25">
      <c r="B653" s="259"/>
      <c r="E653" s="261"/>
    </row>
    <row r="654" spans="2:5" x14ac:dyDescent="0.25">
      <c r="B654" s="259"/>
      <c r="E654" s="255"/>
    </row>
    <row r="655" spans="2:5" x14ac:dyDescent="0.25">
      <c r="B655" s="259"/>
      <c r="E655" s="255"/>
    </row>
    <row r="656" spans="2:5" x14ac:dyDescent="0.25">
      <c r="B656" s="259"/>
      <c r="E656" s="261"/>
    </row>
    <row r="657" spans="2:5" x14ac:dyDescent="0.25">
      <c r="B657" s="259"/>
      <c r="E657" s="255"/>
    </row>
    <row r="658" spans="2:5" x14ac:dyDescent="0.25">
      <c r="B658" s="259"/>
      <c r="E658" s="255"/>
    </row>
    <row r="659" spans="2:5" x14ac:dyDescent="0.25">
      <c r="B659" s="259"/>
      <c r="E659" s="255"/>
    </row>
    <row r="660" spans="2:5" x14ac:dyDescent="0.25">
      <c r="B660" s="259"/>
      <c r="E660" s="255"/>
    </row>
    <row r="661" spans="2:5" x14ac:dyDescent="0.25">
      <c r="B661" s="259"/>
      <c r="E661" s="255"/>
    </row>
    <row r="662" spans="2:5" x14ac:dyDescent="0.25">
      <c r="B662" s="259"/>
      <c r="E662" s="255"/>
    </row>
    <row r="663" spans="2:5" x14ac:dyDescent="0.25">
      <c r="B663" s="259"/>
      <c r="E663" s="255"/>
    </row>
    <row r="664" spans="2:5" x14ac:dyDescent="0.25">
      <c r="B664" s="259"/>
      <c r="E664" s="255"/>
    </row>
    <row r="665" spans="2:5" x14ac:dyDescent="0.25">
      <c r="B665" s="259"/>
      <c r="E665" s="255"/>
    </row>
    <row r="666" spans="2:5" x14ac:dyDescent="0.25">
      <c r="B666" s="259"/>
      <c r="E666" s="255"/>
    </row>
    <row r="667" spans="2:5" x14ac:dyDescent="0.25">
      <c r="B667" s="259"/>
      <c r="E667" s="255"/>
    </row>
    <row r="668" spans="2:5" x14ac:dyDescent="0.25">
      <c r="B668" s="259"/>
      <c r="E668" s="255"/>
    </row>
    <row r="669" spans="2:5" x14ac:dyDescent="0.25">
      <c r="B669" s="259"/>
      <c r="E669" s="255"/>
    </row>
    <row r="670" spans="2:5" x14ac:dyDescent="0.25">
      <c r="B670" s="259"/>
      <c r="E670" s="255"/>
    </row>
    <row r="671" spans="2:5" x14ac:dyDescent="0.25">
      <c r="B671" s="259"/>
      <c r="E671" s="255"/>
    </row>
    <row r="672" spans="2:5" x14ac:dyDescent="0.25">
      <c r="B672" s="259"/>
      <c r="E672" s="255"/>
    </row>
    <row r="673" spans="2:5" x14ac:dyDescent="0.25">
      <c r="B673" s="259"/>
      <c r="E673" s="255"/>
    </row>
    <row r="674" spans="2:5" x14ac:dyDescent="0.25">
      <c r="B674" s="259"/>
      <c r="E674" s="255"/>
    </row>
    <row r="675" spans="2:5" x14ac:dyDescent="0.25">
      <c r="B675" s="259"/>
      <c r="E675" s="255"/>
    </row>
    <row r="676" spans="2:5" x14ac:dyDescent="0.25">
      <c r="B676" s="259"/>
      <c r="E676" s="255"/>
    </row>
    <row r="677" spans="2:5" x14ac:dyDescent="0.25">
      <c r="B677" s="259"/>
      <c r="E677" s="255"/>
    </row>
    <row r="678" spans="2:5" x14ac:dyDescent="0.25">
      <c r="B678" s="259"/>
      <c r="E678" s="255"/>
    </row>
    <row r="679" spans="2:5" x14ac:dyDescent="0.25">
      <c r="B679" s="259"/>
      <c r="E679" s="255"/>
    </row>
    <row r="680" spans="2:5" x14ac:dyDescent="0.25">
      <c r="B680" s="259"/>
      <c r="E680" s="255"/>
    </row>
    <row r="681" spans="2:5" x14ac:dyDescent="0.25">
      <c r="B681" s="259"/>
      <c r="E681" s="255"/>
    </row>
    <row r="682" spans="2:5" x14ac:dyDescent="0.25">
      <c r="B682" s="259"/>
      <c r="E682" s="255"/>
    </row>
    <row r="683" spans="2:5" x14ac:dyDescent="0.25">
      <c r="B683" s="259"/>
      <c r="E683" s="255"/>
    </row>
    <row r="684" spans="2:5" x14ac:dyDescent="0.25">
      <c r="B684" s="259"/>
      <c r="E684" s="255"/>
    </row>
    <row r="685" spans="2:5" x14ac:dyDescent="0.25">
      <c r="B685" s="259"/>
      <c r="E685" s="255"/>
    </row>
    <row r="686" spans="2:5" x14ac:dyDescent="0.25">
      <c r="B686" s="259"/>
      <c r="E686" s="255"/>
    </row>
    <row r="687" spans="2:5" x14ac:dyDescent="0.25">
      <c r="B687" s="259"/>
      <c r="E687" s="255"/>
    </row>
    <row r="688" spans="2:5" x14ac:dyDescent="0.25">
      <c r="B688" s="259"/>
      <c r="E688" s="255"/>
    </row>
    <row r="689" spans="2:7" x14ac:dyDescent="0.25">
      <c r="B689" s="259"/>
      <c r="E689" s="255"/>
    </row>
    <row r="690" spans="2:7" ht="15" customHeight="1" x14ac:dyDescent="0.25">
      <c r="B690" s="259"/>
      <c r="E690" s="255"/>
    </row>
    <row r="691" spans="2:7" x14ac:dyDescent="0.25">
      <c r="B691" s="259"/>
    </row>
    <row r="692" spans="2:7" x14ac:dyDescent="0.25">
      <c r="C692" s="2"/>
    </row>
    <row r="695" spans="2:7" x14ac:dyDescent="0.25">
      <c r="B695" s="259"/>
    </row>
    <row r="697" spans="2:7" x14ac:dyDescent="0.25">
      <c r="B697" s="259">
        <v>136059</v>
      </c>
      <c r="C697" s="1" t="s">
        <v>350</v>
      </c>
    </row>
    <row r="698" spans="2:7" x14ac:dyDescent="0.25">
      <c r="B698" s="259">
        <v>135946</v>
      </c>
      <c r="C698" s="1" t="s">
        <v>351</v>
      </c>
      <c r="G698" s="1">
        <v>705696</v>
      </c>
    </row>
    <row r="699" spans="2:7" x14ac:dyDescent="0.25">
      <c r="B699" s="259">
        <v>135979</v>
      </c>
      <c r="C699" s="1" t="s">
        <v>352</v>
      </c>
      <c r="G699" s="1">
        <v>599024</v>
      </c>
    </row>
    <row r="700" spans="2:7" x14ac:dyDescent="0.25">
      <c r="B700" s="259">
        <v>135955</v>
      </c>
      <c r="C700" s="1" t="s">
        <v>353</v>
      </c>
      <c r="G700" s="1">
        <v>339264</v>
      </c>
    </row>
    <row r="701" spans="2:7" x14ac:dyDescent="0.25">
      <c r="B701" s="259" t="s">
        <v>354</v>
      </c>
      <c r="C701" s="1" t="s">
        <v>355</v>
      </c>
      <c r="G701" s="1">
        <v>18350</v>
      </c>
    </row>
    <row r="702" spans="2:7" x14ac:dyDescent="0.25">
      <c r="B702" s="259">
        <v>136575</v>
      </c>
      <c r="C702" s="1" t="s">
        <v>356</v>
      </c>
      <c r="G702" s="1">
        <v>26051</v>
      </c>
    </row>
    <row r="703" spans="2:7" x14ac:dyDescent="0.25">
      <c r="B703" s="259">
        <v>136082</v>
      </c>
      <c r="C703" s="1" t="s">
        <v>357</v>
      </c>
      <c r="G703" s="1">
        <v>24600</v>
      </c>
    </row>
    <row r="704" spans="2:7" x14ac:dyDescent="0.25">
      <c r="B704" s="259">
        <v>135945</v>
      </c>
      <c r="C704" s="1" t="s">
        <v>358</v>
      </c>
      <c r="G704" s="1">
        <v>6250</v>
      </c>
    </row>
    <row r="705" spans="2:7" x14ac:dyDescent="0.25">
      <c r="B705" s="259">
        <v>135971</v>
      </c>
      <c r="C705" s="1" t="s">
        <v>359</v>
      </c>
      <c r="G705" s="1">
        <v>53616</v>
      </c>
    </row>
    <row r="706" spans="2:7" x14ac:dyDescent="0.25">
      <c r="B706" s="259">
        <v>137615</v>
      </c>
      <c r="C706" s="1" t="s">
        <v>360</v>
      </c>
      <c r="G706" s="1">
        <v>29900</v>
      </c>
    </row>
    <row r="707" spans="2:7" x14ac:dyDescent="0.25">
      <c r="B707" s="259">
        <v>135962</v>
      </c>
      <c r="C707" s="1" t="s">
        <v>361</v>
      </c>
      <c r="G707" s="1">
        <v>33200</v>
      </c>
    </row>
    <row r="708" spans="2:7" x14ac:dyDescent="0.25">
      <c r="B708" s="259">
        <v>136744</v>
      </c>
      <c r="C708" s="1" t="s">
        <v>362</v>
      </c>
      <c r="G708" s="1">
        <v>36189</v>
      </c>
    </row>
    <row r="709" spans="2:7" x14ac:dyDescent="0.25">
      <c r="B709" s="259">
        <v>136065</v>
      </c>
      <c r="C709" s="1" t="s">
        <v>363</v>
      </c>
      <c r="G709" s="1">
        <v>31000</v>
      </c>
    </row>
    <row r="710" spans="2:7" x14ac:dyDescent="0.25">
      <c r="B710" s="259">
        <v>135951</v>
      </c>
      <c r="C710" s="1" t="s">
        <v>364</v>
      </c>
      <c r="G710" s="1">
        <v>36491</v>
      </c>
    </row>
    <row r="711" spans="2:7" x14ac:dyDescent="0.25">
      <c r="B711" s="259">
        <v>136077</v>
      </c>
      <c r="C711" s="1" t="s">
        <v>365</v>
      </c>
      <c r="G711" s="1">
        <v>38832</v>
      </c>
    </row>
    <row r="712" spans="2:7" x14ac:dyDescent="0.25">
      <c r="B712" s="259">
        <v>136090</v>
      </c>
      <c r="C712" s="1" t="s">
        <v>366</v>
      </c>
      <c r="G712" s="1">
        <v>37600</v>
      </c>
    </row>
    <row r="713" spans="2:7" x14ac:dyDescent="0.25">
      <c r="B713" s="259">
        <v>135990</v>
      </c>
      <c r="C713" s="1" t="s">
        <v>367</v>
      </c>
      <c r="G713" s="1">
        <v>229332</v>
      </c>
    </row>
    <row r="714" spans="2:7" x14ac:dyDescent="0.25">
      <c r="B714" s="259">
        <v>1000226</v>
      </c>
      <c r="C714" s="1" t="s">
        <v>368</v>
      </c>
      <c r="G714" s="1">
        <v>223940</v>
      </c>
    </row>
    <row r="715" spans="2:7" x14ac:dyDescent="0.25">
      <c r="B715" s="259">
        <v>135993</v>
      </c>
      <c r="C715" s="1" t="s">
        <v>369</v>
      </c>
      <c r="G715" s="1">
        <v>218600</v>
      </c>
    </row>
    <row r="716" spans="2:7" x14ac:dyDescent="0.25">
      <c r="B716" s="259">
        <v>135954</v>
      </c>
      <c r="C716" s="1" t="s">
        <v>370</v>
      </c>
      <c r="G716" s="1">
        <v>207352</v>
      </c>
    </row>
    <row r="717" spans="2:7" x14ac:dyDescent="0.25">
      <c r="B717" s="259">
        <v>135981</v>
      </c>
      <c r="C717" s="1" t="s">
        <v>371</v>
      </c>
      <c r="G717" s="1">
        <v>197166</v>
      </c>
    </row>
    <row r="718" spans="2:7" x14ac:dyDescent="0.25">
      <c r="B718" s="259">
        <v>135953</v>
      </c>
      <c r="C718" s="1" t="s">
        <v>372</v>
      </c>
      <c r="G718" s="1">
        <v>171745</v>
      </c>
    </row>
    <row r="719" spans="2:7" x14ac:dyDescent="0.25">
      <c r="B719" s="259">
        <v>136092</v>
      </c>
      <c r="C719" s="1" t="s">
        <v>373</v>
      </c>
      <c r="G719" s="1">
        <v>166194</v>
      </c>
    </row>
    <row r="720" spans="2:7" x14ac:dyDescent="0.25">
      <c r="B720" s="259">
        <v>137613</v>
      </c>
      <c r="C720" s="1" t="s">
        <v>374</v>
      </c>
      <c r="G720" s="1">
        <v>130205</v>
      </c>
    </row>
    <row r="721" spans="2:7" x14ac:dyDescent="0.25">
      <c r="B721" s="259">
        <v>136083</v>
      </c>
      <c r="C721" s="1" t="s">
        <v>375</v>
      </c>
      <c r="G721" s="1">
        <v>121935</v>
      </c>
    </row>
    <row r="722" spans="2:7" x14ac:dyDescent="0.25">
      <c r="B722" s="259">
        <v>135709</v>
      </c>
      <c r="C722" s="1" t="s">
        <v>376</v>
      </c>
      <c r="G722" s="1">
        <v>104675</v>
      </c>
    </row>
    <row r="723" spans="2:7" x14ac:dyDescent="0.25">
      <c r="B723" s="259">
        <v>135961</v>
      </c>
      <c r="C723" s="1" t="s">
        <v>377</v>
      </c>
      <c r="G723" s="1">
        <v>104176</v>
      </c>
    </row>
    <row r="724" spans="2:7" x14ac:dyDescent="0.25">
      <c r="B724" s="259">
        <v>135957</v>
      </c>
      <c r="C724" s="1" t="s">
        <v>378</v>
      </c>
      <c r="G724" s="1">
        <v>101378</v>
      </c>
    </row>
    <row r="725" spans="2:7" x14ac:dyDescent="0.25">
      <c r="B725" s="259">
        <v>135710</v>
      </c>
      <c r="C725" s="1" t="s">
        <v>379</v>
      </c>
      <c r="G725" s="1">
        <v>82568</v>
      </c>
    </row>
    <row r="726" spans="2:7" x14ac:dyDescent="0.25">
      <c r="B726" s="259">
        <v>135986</v>
      </c>
      <c r="C726" s="1" t="s">
        <v>380</v>
      </c>
      <c r="G726" s="1">
        <v>82040</v>
      </c>
    </row>
    <row r="727" spans="2:7" x14ac:dyDescent="0.25">
      <c r="B727" s="259">
        <v>135958</v>
      </c>
      <c r="C727" s="1" t="s">
        <v>381</v>
      </c>
      <c r="G727" s="1">
        <v>71637</v>
      </c>
    </row>
    <row r="728" spans="2:7" x14ac:dyDescent="0.25">
      <c r="B728" s="259">
        <v>136731</v>
      </c>
      <c r="C728" s="1" t="s">
        <v>382</v>
      </c>
      <c r="G728" s="1">
        <v>70474</v>
      </c>
    </row>
    <row r="729" spans="2:7" x14ac:dyDescent="0.25">
      <c r="B729" s="259">
        <v>136080</v>
      </c>
      <c r="C729" s="1" t="s">
        <v>383</v>
      </c>
      <c r="G729" s="1">
        <v>61952</v>
      </c>
    </row>
    <row r="730" spans="2:7" x14ac:dyDescent="0.25">
      <c r="B730" s="259">
        <v>135982</v>
      </c>
      <c r="C730" s="1" t="s">
        <v>384</v>
      </c>
      <c r="G730" s="1">
        <v>61844</v>
      </c>
    </row>
    <row r="731" spans="2:7" x14ac:dyDescent="0.25">
      <c r="B731" s="259">
        <v>17</v>
      </c>
      <c r="C731" s="1" t="s">
        <v>385</v>
      </c>
      <c r="G731" s="1">
        <v>59930</v>
      </c>
    </row>
    <row r="732" spans="2:7" x14ac:dyDescent="0.25">
      <c r="B732" s="259">
        <v>135991</v>
      </c>
      <c r="C732" s="1" t="s">
        <v>386</v>
      </c>
      <c r="G732" s="1">
        <v>59227</v>
      </c>
    </row>
    <row r="733" spans="2:7" x14ac:dyDescent="0.25">
      <c r="B733" s="259">
        <v>136740</v>
      </c>
      <c r="C733" s="1" t="s">
        <v>387</v>
      </c>
      <c r="G733" s="1">
        <v>47597</v>
      </c>
    </row>
    <row r="734" spans="2:7" x14ac:dyDescent="0.25">
      <c r="B734" s="259">
        <v>135992</v>
      </c>
      <c r="C734" s="1" t="s">
        <v>388</v>
      </c>
      <c r="G734" s="1">
        <v>47517</v>
      </c>
    </row>
    <row r="735" spans="2:7" x14ac:dyDescent="0.25">
      <c r="B735" s="259">
        <v>135966</v>
      </c>
      <c r="C735" s="1" t="s">
        <v>389</v>
      </c>
      <c r="G735" s="1">
        <v>46137</v>
      </c>
    </row>
    <row r="736" spans="2:7" x14ac:dyDescent="0.25">
      <c r="B736" s="259">
        <v>136085</v>
      </c>
      <c r="C736" s="1" t="s">
        <v>390</v>
      </c>
      <c r="G736" s="1">
        <v>42950</v>
      </c>
    </row>
    <row r="737" spans="2:7" x14ac:dyDescent="0.25">
      <c r="B737" s="259">
        <v>136094</v>
      </c>
      <c r="C737" s="1" t="s">
        <v>391</v>
      </c>
      <c r="G737" s="1">
        <v>42836</v>
      </c>
    </row>
    <row r="738" spans="2:7" x14ac:dyDescent="0.25">
      <c r="B738" s="259">
        <v>135985</v>
      </c>
      <c r="C738" s="1" t="s">
        <v>392</v>
      </c>
      <c r="G738" s="1">
        <v>40966</v>
      </c>
    </row>
    <row r="739" spans="2:7" x14ac:dyDescent="0.25">
      <c r="B739" s="259">
        <v>136095</v>
      </c>
      <c r="C739" s="1" t="s">
        <v>393</v>
      </c>
      <c r="G739" s="1">
        <v>40394</v>
      </c>
    </row>
    <row r="740" spans="2:7" x14ac:dyDescent="0.25">
      <c r="B740" s="259">
        <v>136081</v>
      </c>
      <c r="C740" s="1" t="s">
        <v>394</v>
      </c>
      <c r="G740" s="1">
        <v>40350</v>
      </c>
    </row>
    <row r="741" spans="2:7" x14ac:dyDescent="0.25">
      <c r="B741" s="259">
        <v>135963</v>
      </c>
      <c r="C741" s="1" t="s">
        <v>395</v>
      </c>
      <c r="G741" s="1">
        <v>40130</v>
      </c>
    </row>
    <row r="742" spans="2:7" x14ac:dyDescent="0.25">
      <c r="B742" s="259">
        <v>135964</v>
      </c>
      <c r="C742" s="1" t="s">
        <v>396</v>
      </c>
      <c r="G742" s="1">
        <v>36739</v>
      </c>
    </row>
    <row r="743" spans="2:7" x14ac:dyDescent="0.25">
      <c r="B743" s="259">
        <v>135965</v>
      </c>
      <c r="C743" s="1" t="s">
        <v>397</v>
      </c>
      <c r="G743" s="1">
        <v>36739</v>
      </c>
    </row>
    <row r="744" spans="2:7" x14ac:dyDescent="0.25">
      <c r="B744" s="259">
        <v>138150</v>
      </c>
      <c r="C744" s="1" t="s">
        <v>398</v>
      </c>
      <c r="G744" s="1">
        <v>36717</v>
      </c>
    </row>
    <row r="745" spans="2:7" x14ac:dyDescent="0.25">
      <c r="B745" s="259">
        <v>135959</v>
      </c>
      <c r="C745" s="1" t="s">
        <v>399</v>
      </c>
      <c r="G745" s="1">
        <v>36588</v>
      </c>
    </row>
    <row r="746" spans="2:7" x14ac:dyDescent="0.25">
      <c r="B746" s="259">
        <v>135950</v>
      </c>
      <c r="C746" s="1" t="s">
        <v>400</v>
      </c>
      <c r="G746" s="1">
        <v>36060</v>
      </c>
    </row>
    <row r="747" spans="2:7" x14ac:dyDescent="0.25">
      <c r="B747" s="259">
        <v>135960</v>
      </c>
      <c r="C747" s="1" t="s">
        <v>401</v>
      </c>
      <c r="G747" s="1">
        <v>35706</v>
      </c>
    </row>
    <row r="748" spans="2:7" x14ac:dyDescent="0.25">
      <c r="B748" s="259">
        <v>136084</v>
      </c>
      <c r="C748" s="1" t="s">
        <v>402</v>
      </c>
      <c r="G748" s="1">
        <v>34715</v>
      </c>
    </row>
    <row r="749" spans="2:7" x14ac:dyDescent="0.25">
      <c r="B749" s="259">
        <v>136086</v>
      </c>
      <c r="C749" s="1" t="s">
        <v>403</v>
      </c>
      <c r="G749" s="1">
        <v>33596</v>
      </c>
    </row>
    <row r="750" spans="2:7" x14ac:dyDescent="0.25">
      <c r="B750" s="259">
        <v>135972</v>
      </c>
      <c r="C750" s="1" t="s">
        <v>404</v>
      </c>
      <c r="G750" s="1">
        <v>31000</v>
      </c>
    </row>
    <row r="751" spans="2:7" x14ac:dyDescent="0.25">
      <c r="B751" s="259">
        <v>136097</v>
      </c>
      <c r="C751" s="1" t="s">
        <v>405</v>
      </c>
      <c r="G751" s="1">
        <v>30450</v>
      </c>
    </row>
    <row r="752" spans="2:7" x14ac:dyDescent="0.25">
      <c r="B752" s="259">
        <v>135756</v>
      </c>
      <c r="C752" s="1" t="s">
        <v>406</v>
      </c>
      <c r="G752" s="1">
        <v>28406</v>
      </c>
    </row>
    <row r="753" spans="2:7" x14ac:dyDescent="0.25">
      <c r="B753" s="259">
        <v>135967</v>
      </c>
      <c r="C753" s="1" t="s">
        <v>407</v>
      </c>
      <c r="G753" s="1">
        <v>27700</v>
      </c>
    </row>
    <row r="754" spans="2:7" x14ac:dyDescent="0.25">
      <c r="B754" s="259">
        <v>135968</v>
      </c>
      <c r="C754" s="1" t="s">
        <v>408</v>
      </c>
      <c r="G754" s="1">
        <v>27700</v>
      </c>
    </row>
    <row r="755" spans="2:7" x14ac:dyDescent="0.25">
      <c r="B755" s="259">
        <v>135969</v>
      </c>
      <c r="C755" s="1" t="s">
        <v>409</v>
      </c>
      <c r="G755" s="1">
        <v>27700</v>
      </c>
    </row>
    <row r="756" spans="2:7" x14ac:dyDescent="0.25">
      <c r="B756" s="259">
        <v>135994</v>
      </c>
      <c r="C756" s="1" t="s">
        <v>410</v>
      </c>
      <c r="G756" s="1">
        <v>27700</v>
      </c>
    </row>
    <row r="757" spans="2:7" x14ac:dyDescent="0.25">
      <c r="B757" s="259">
        <v>136087</v>
      </c>
      <c r="C757" s="1" t="s">
        <v>411</v>
      </c>
      <c r="G757" s="1">
        <v>27700</v>
      </c>
    </row>
    <row r="758" spans="2:7" x14ac:dyDescent="0.25">
      <c r="B758" s="259">
        <v>136724</v>
      </c>
      <c r="C758" s="1" t="s">
        <v>412</v>
      </c>
      <c r="G758" s="1">
        <v>27612</v>
      </c>
    </row>
    <row r="759" spans="2:7" x14ac:dyDescent="0.25">
      <c r="B759" s="259">
        <v>136079</v>
      </c>
      <c r="C759" s="1" t="s">
        <v>413</v>
      </c>
      <c r="G759" s="1">
        <v>27425</v>
      </c>
    </row>
    <row r="760" spans="2:7" x14ac:dyDescent="0.25">
      <c r="B760" s="259">
        <v>135984</v>
      </c>
      <c r="C760" s="1" t="s">
        <v>414</v>
      </c>
      <c r="G760" s="1">
        <v>24950</v>
      </c>
    </row>
    <row r="761" spans="2:7" x14ac:dyDescent="0.25">
      <c r="B761" s="259">
        <v>135956</v>
      </c>
      <c r="C761" s="1" t="s">
        <v>415</v>
      </c>
      <c r="G761" s="1">
        <v>19538</v>
      </c>
    </row>
    <row r="762" spans="2:7" x14ac:dyDescent="0.25">
      <c r="B762" s="259">
        <v>137195</v>
      </c>
      <c r="C762" s="1" t="s">
        <v>416</v>
      </c>
      <c r="G762" s="1">
        <v>11635</v>
      </c>
    </row>
    <row r="763" spans="2:7" x14ac:dyDescent="0.25">
      <c r="B763" s="259">
        <v>135987</v>
      </c>
      <c r="C763" s="1" t="s">
        <v>417</v>
      </c>
      <c r="G763" s="1">
        <v>4805</v>
      </c>
    </row>
    <row r="764" spans="2:7" x14ac:dyDescent="0.25">
      <c r="B764" s="259">
        <v>136726</v>
      </c>
      <c r="C764" s="1" t="s">
        <v>418</v>
      </c>
      <c r="G764" s="1">
        <v>3250</v>
      </c>
    </row>
    <row r="765" spans="2:7" x14ac:dyDescent="0.25">
      <c r="B765" s="259">
        <v>135980</v>
      </c>
      <c r="C765" s="1" t="s">
        <v>419</v>
      </c>
      <c r="G765" s="1">
        <v>2620</v>
      </c>
    </row>
    <row r="766" spans="2:7" x14ac:dyDescent="0.25">
      <c r="B766" s="259">
        <v>136091</v>
      </c>
      <c r="C766" s="1" t="s">
        <v>420</v>
      </c>
      <c r="G766" s="1">
        <v>2400</v>
      </c>
    </row>
    <row r="767" spans="2:7" x14ac:dyDescent="0.25">
      <c r="B767" s="259">
        <v>136089</v>
      </c>
      <c r="C767" s="1" t="s">
        <v>421</v>
      </c>
      <c r="G767" s="1">
        <v>1834</v>
      </c>
    </row>
    <row r="768" spans="2:7" x14ac:dyDescent="0.25">
      <c r="B768" s="259">
        <v>136093</v>
      </c>
      <c r="C768" s="1" t="s">
        <v>422</v>
      </c>
      <c r="G768" s="1">
        <v>1210</v>
      </c>
    </row>
    <row r="769" spans="2:7" x14ac:dyDescent="0.25">
      <c r="B769" s="259">
        <v>135989</v>
      </c>
      <c r="C769" s="1" t="s">
        <v>423</v>
      </c>
      <c r="G769" s="1">
        <v>1100</v>
      </c>
    </row>
    <row r="770" spans="2:7" x14ac:dyDescent="0.25">
      <c r="G770" s="1">
        <v>550</v>
      </c>
    </row>
  </sheetData>
  <mergeCells count="143">
    <mergeCell ref="B46:E46"/>
    <mergeCell ref="B47:E47"/>
    <mergeCell ref="B48:E48"/>
    <mergeCell ref="B51:E51"/>
    <mergeCell ref="B52:E52"/>
    <mergeCell ref="B54:E54"/>
    <mergeCell ref="A4:E4"/>
    <mergeCell ref="B6:E6"/>
    <mergeCell ref="B10:E10"/>
    <mergeCell ref="B12:E12"/>
    <mergeCell ref="B14:E14"/>
    <mergeCell ref="B45:E45"/>
    <mergeCell ref="B66:E66"/>
    <mergeCell ref="B67:E67"/>
    <mergeCell ref="B68:E68"/>
    <mergeCell ref="B69:E69"/>
    <mergeCell ref="B70:E70"/>
    <mergeCell ref="B71:E71"/>
    <mergeCell ref="B59:E59"/>
    <mergeCell ref="B60:E60"/>
    <mergeCell ref="B61:E61"/>
    <mergeCell ref="B62:E62"/>
    <mergeCell ref="B63:E63"/>
    <mergeCell ref="B64:E64"/>
    <mergeCell ref="B81:E81"/>
    <mergeCell ref="B82:E82"/>
    <mergeCell ref="B83:E83"/>
    <mergeCell ref="B84:E84"/>
    <mergeCell ref="B85:E85"/>
    <mergeCell ref="B86:E86"/>
    <mergeCell ref="B72:E72"/>
    <mergeCell ref="B73:E73"/>
    <mergeCell ref="B74:E74"/>
    <mergeCell ref="B75:E75"/>
    <mergeCell ref="B77:E77"/>
    <mergeCell ref="B78:E78"/>
    <mergeCell ref="B93:E93"/>
    <mergeCell ref="B94:E94"/>
    <mergeCell ref="B95:E95"/>
    <mergeCell ref="B96:E96"/>
    <mergeCell ref="B97:E97"/>
    <mergeCell ref="B103:E103"/>
    <mergeCell ref="B87:E87"/>
    <mergeCell ref="B88:E88"/>
    <mergeCell ref="B89:E89"/>
    <mergeCell ref="B90:E90"/>
    <mergeCell ref="B91:E91"/>
    <mergeCell ref="B92:E92"/>
    <mergeCell ref="B110:E110"/>
    <mergeCell ref="B111:E111"/>
    <mergeCell ref="B112:E112"/>
    <mergeCell ref="B113:E113"/>
    <mergeCell ref="B114:E114"/>
    <mergeCell ref="B115:E115"/>
    <mergeCell ref="B104:E104"/>
    <mergeCell ref="B105:E105"/>
    <mergeCell ref="B106:E106"/>
    <mergeCell ref="B107:E107"/>
    <mergeCell ref="B108:E108"/>
    <mergeCell ref="B109:E109"/>
    <mergeCell ref="B148:E148"/>
    <mergeCell ref="B149:E149"/>
    <mergeCell ref="B155:C155"/>
    <mergeCell ref="B157:E157"/>
    <mergeCell ref="B159:E159"/>
    <mergeCell ref="B160:E160"/>
    <mergeCell ref="B128:C128"/>
    <mergeCell ref="B135:E135"/>
    <mergeCell ref="B136:E136"/>
    <mergeCell ref="B137:E137"/>
    <mergeCell ref="B144:C144"/>
    <mergeCell ref="B147:E147"/>
    <mergeCell ref="B188:C188"/>
    <mergeCell ref="B193:E193"/>
    <mergeCell ref="B194:E194"/>
    <mergeCell ref="B195:E195"/>
    <mergeCell ref="B214:C214"/>
    <mergeCell ref="B233:E233"/>
    <mergeCell ref="B161:E161"/>
    <mergeCell ref="B162:E162"/>
    <mergeCell ref="B169:C169"/>
    <mergeCell ref="B171:E171"/>
    <mergeCell ref="B177:E177"/>
    <mergeCell ref="B178:E178"/>
    <mergeCell ref="B364:C364"/>
    <mergeCell ref="B366:E366"/>
    <mergeCell ref="B373:E373"/>
    <mergeCell ref="B374:E374"/>
    <mergeCell ref="B375:E375"/>
    <mergeCell ref="B376:E376"/>
    <mergeCell ref="B234:E234"/>
    <mergeCell ref="B235:E235"/>
    <mergeCell ref="B236:E236"/>
    <mergeCell ref="B315:C315"/>
    <mergeCell ref="B356:E356"/>
    <mergeCell ref="B357:E357"/>
    <mergeCell ref="B411:E411"/>
    <mergeCell ref="B412:E412"/>
    <mergeCell ref="B419:C419"/>
    <mergeCell ref="B422:E422"/>
    <mergeCell ref="B423:E423"/>
    <mergeCell ref="B436:C436"/>
    <mergeCell ref="B384:C384"/>
    <mergeCell ref="B385:E385"/>
    <mergeCell ref="B388:E388"/>
    <mergeCell ref="B389:E389"/>
    <mergeCell ref="B395:C395"/>
    <mergeCell ref="B410:E410"/>
    <mergeCell ref="C464:D464"/>
    <mergeCell ref="B470:C470"/>
    <mergeCell ref="B475:E475"/>
    <mergeCell ref="B476:E476"/>
    <mergeCell ref="B477:E477"/>
    <mergeCell ref="C479:D479"/>
    <mergeCell ref="B442:E442"/>
    <mergeCell ref="B443:E443"/>
    <mergeCell ref="B452:C452"/>
    <mergeCell ref="B453:E453"/>
    <mergeCell ref="B461:E461"/>
    <mergeCell ref="B462:E462"/>
    <mergeCell ref="B535:C535"/>
    <mergeCell ref="B543:E543"/>
    <mergeCell ref="B550:C550"/>
    <mergeCell ref="B555:E555"/>
    <mergeCell ref="B567:C567"/>
    <mergeCell ref="B572:E572"/>
    <mergeCell ref="B487:C487"/>
    <mergeCell ref="B489:E489"/>
    <mergeCell ref="B490:E490"/>
    <mergeCell ref="B516:E516"/>
    <mergeCell ref="B520:E520"/>
    <mergeCell ref="B521:E521"/>
    <mergeCell ref="B620:E620"/>
    <mergeCell ref="B621:E621"/>
    <mergeCell ref="B627:C627"/>
    <mergeCell ref="B633:E633"/>
    <mergeCell ref="B634:E634"/>
    <mergeCell ref="B580:C580"/>
    <mergeCell ref="B588:E588"/>
    <mergeCell ref="B602:C602"/>
    <mergeCell ref="B608:E608"/>
    <mergeCell ref="B615:C615"/>
    <mergeCell ref="B619:E619"/>
  </mergeCells>
  <conditionalFormatting sqref="D602:D604 D567 D535 D487 D452 D384 D364:D365 D315 D214:D215 D470 D169 D155 D436 D144:D145 D550:D552 D419:D420 D367:D371 D395:D408 D128:D133">
    <cfRule type="expression" priority="2" stopIfTrue="1">
      <formula>"$E$165&gt;=1,¨Aumento¨"</formula>
    </cfRule>
  </conditionalFormatting>
  <conditionalFormatting sqref="D580">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6"/>
  <sheetViews>
    <sheetView topLeftCell="A139" workbookViewId="0">
      <selection activeCell="K161" sqref="K161"/>
    </sheetView>
  </sheetViews>
  <sheetFormatPr baseColWidth="10" defaultColWidth="11.42578125" defaultRowHeight="15" customHeight="1" x14ac:dyDescent="0.25"/>
  <cols>
    <col min="1" max="1" width="11.42578125" style="262"/>
    <col min="2" max="2" width="10.5703125" style="262" customWidth="1"/>
    <col min="3" max="3" width="40.85546875" style="262" customWidth="1"/>
    <col min="4" max="4" width="7.42578125" style="262" customWidth="1"/>
    <col min="5" max="5" width="9.7109375" style="262" customWidth="1"/>
    <col min="6" max="6" width="16" style="262" customWidth="1"/>
    <col min="7" max="16384" width="11.42578125" style="262"/>
  </cols>
  <sheetData>
    <row r="1" spans="1:7" ht="15" customHeight="1" x14ac:dyDescent="0.25">
      <c r="A1" s="262" t="s">
        <v>424</v>
      </c>
    </row>
    <row r="2" spans="1:7" ht="15" customHeight="1" x14ac:dyDescent="0.25">
      <c r="A2" s="262" t="s">
        <v>424</v>
      </c>
    </row>
    <row r="5" spans="1:7" ht="15.75" customHeight="1" x14ac:dyDescent="0.3">
      <c r="B5" s="294" t="s">
        <v>425</v>
      </c>
      <c r="C5" s="294"/>
      <c r="D5" s="294"/>
      <c r="E5" s="294"/>
      <c r="F5" s="294"/>
    </row>
    <row r="7" spans="1:7" ht="15.75" customHeight="1" x14ac:dyDescent="0.25">
      <c r="A7" s="262" t="s">
        <v>424</v>
      </c>
      <c r="B7" s="263" t="s">
        <v>426</v>
      </c>
      <c r="C7" s="263" t="s">
        <v>427</v>
      </c>
      <c r="D7" s="263" t="s">
        <v>428</v>
      </c>
      <c r="E7" s="263" t="s">
        <v>429</v>
      </c>
      <c r="F7" s="263" t="s">
        <v>213</v>
      </c>
    </row>
    <row r="8" spans="1:7" ht="15" customHeight="1" x14ac:dyDescent="0.25">
      <c r="B8" s="264"/>
      <c r="C8" s="264"/>
      <c r="D8" s="264"/>
      <c r="E8" s="264"/>
      <c r="F8" s="264"/>
      <c r="G8" s="262" t="s">
        <v>424</v>
      </c>
    </row>
    <row r="9" spans="1:7" ht="15" customHeight="1" x14ac:dyDescent="0.25">
      <c r="B9" s="264" t="s">
        <v>430</v>
      </c>
      <c r="C9" s="264" t="s">
        <v>431</v>
      </c>
      <c r="D9" s="264" t="s">
        <v>432</v>
      </c>
      <c r="E9" s="264">
        <v>1186</v>
      </c>
      <c r="F9" s="265">
        <v>7035.5847457627124</v>
      </c>
    </row>
    <row r="10" spans="1:7" ht="15" customHeight="1" x14ac:dyDescent="0.25">
      <c r="B10" s="264" t="s">
        <v>433</v>
      </c>
      <c r="C10" s="264" t="s">
        <v>434</v>
      </c>
      <c r="D10" s="264" t="s">
        <v>432</v>
      </c>
      <c r="E10" s="264">
        <v>226</v>
      </c>
      <c r="F10" s="265">
        <v>1915.2542372881358</v>
      </c>
    </row>
    <row r="11" spans="1:7" ht="15" customHeight="1" x14ac:dyDescent="0.25">
      <c r="B11" s="264" t="s">
        <v>435</v>
      </c>
      <c r="C11" s="264" t="s">
        <v>436</v>
      </c>
      <c r="D11" s="264" t="s">
        <v>432</v>
      </c>
      <c r="E11" s="264">
        <v>165</v>
      </c>
      <c r="F11" s="265">
        <v>2796.6101694915255</v>
      </c>
    </row>
    <row r="12" spans="1:7" ht="15" customHeight="1" x14ac:dyDescent="0.25">
      <c r="B12" s="264" t="s">
        <v>437</v>
      </c>
      <c r="C12" s="264" t="s">
        <v>438</v>
      </c>
      <c r="D12" s="264" t="s">
        <v>432</v>
      </c>
      <c r="E12" s="264">
        <v>128</v>
      </c>
      <c r="F12" s="265">
        <v>7050.8474576271192</v>
      </c>
    </row>
    <row r="13" spans="1:7" ht="15" customHeight="1" x14ac:dyDescent="0.25">
      <c r="B13" s="264" t="s">
        <v>439</v>
      </c>
      <c r="C13" s="264" t="s">
        <v>440</v>
      </c>
      <c r="D13" s="264" t="s">
        <v>432</v>
      </c>
      <c r="E13" s="264">
        <v>99</v>
      </c>
      <c r="F13" s="265">
        <v>1541.2118644067798</v>
      </c>
    </row>
    <row r="14" spans="1:7" ht="15" customHeight="1" x14ac:dyDescent="0.25">
      <c r="B14" s="264" t="s">
        <v>441</v>
      </c>
      <c r="C14" s="264" t="s">
        <v>442</v>
      </c>
      <c r="D14" s="264" t="s">
        <v>432</v>
      </c>
      <c r="E14" s="264">
        <v>133</v>
      </c>
      <c r="F14" s="265">
        <v>1916.12</v>
      </c>
    </row>
    <row r="15" spans="1:7" ht="15" customHeight="1" x14ac:dyDescent="0.25">
      <c r="B15" s="264" t="s">
        <v>443</v>
      </c>
      <c r="C15" s="264" t="s">
        <v>444</v>
      </c>
      <c r="D15" s="264" t="s">
        <v>432</v>
      </c>
      <c r="E15" s="264">
        <v>97</v>
      </c>
      <c r="F15" s="265">
        <v>3451.7203389830511</v>
      </c>
    </row>
    <row r="16" spans="1:7" ht="15" customHeight="1" x14ac:dyDescent="0.25">
      <c r="B16" s="264" t="s">
        <v>445</v>
      </c>
      <c r="C16" s="264" t="s">
        <v>446</v>
      </c>
      <c r="D16" s="264" t="s">
        <v>432</v>
      </c>
      <c r="E16" s="264">
        <v>32</v>
      </c>
      <c r="F16" s="265">
        <v>1572.6101694915255</v>
      </c>
    </row>
    <row r="17" spans="2:6" ht="15" customHeight="1" x14ac:dyDescent="0.25">
      <c r="B17" s="264" t="s">
        <v>447</v>
      </c>
      <c r="C17" s="264" t="s">
        <v>448</v>
      </c>
      <c r="D17" s="264" t="s">
        <v>432</v>
      </c>
      <c r="E17" s="264">
        <v>98</v>
      </c>
      <c r="F17" s="265">
        <v>23029.169491525423</v>
      </c>
    </row>
    <row r="18" spans="2:6" ht="15" customHeight="1" x14ac:dyDescent="0.25">
      <c r="B18" s="264" t="s">
        <v>449</v>
      </c>
      <c r="C18" s="264" t="s">
        <v>450</v>
      </c>
      <c r="D18" s="264" t="s">
        <v>432</v>
      </c>
      <c r="E18" s="264">
        <v>1861</v>
      </c>
      <c r="F18" s="265">
        <v>7885.5932203389839</v>
      </c>
    </row>
    <row r="19" spans="2:6" ht="15" customHeight="1" x14ac:dyDescent="0.25">
      <c r="B19" s="264" t="s">
        <v>451</v>
      </c>
      <c r="C19" s="264" t="s">
        <v>452</v>
      </c>
      <c r="D19" s="264" t="s">
        <v>432</v>
      </c>
      <c r="E19" s="264">
        <v>217</v>
      </c>
      <c r="F19" s="265">
        <v>1285.449152542373</v>
      </c>
    </row>
    <row r="20" spans="2:6" ht="15" customHeight="1" x14ac:dyDescent="0.25">
      <c r="B20" s="264" t="s">
        <v>453</v>
      </c>
      <c r="C20" s="264" t="s">
        <v>454</v>
      </c>
      <c r="D20" s="264" t="s">
        <v>432</v>
      </c>
      <c r="E20" s="264">
        <v>1307</v>
      </c>
      <c r="F20" s="265">
        <v>7753.3898305084749</v>
      </c>
    </row>
    <row r="21" spans="2:6" ht="15" customHeight="1" x14ac:dyDescent="0.25">
      <c r="B21" s="264" t="s">
        <v>455</v>
      </c>
      <c r="C21" s="264" t="s">
        <v>456</v>
      </c>
      <c r="D21" s="264" t="s">
        <v>432</v>
      </c>
      <c r="E21" s="264">
        <v>485</v>
      </c>
      <c r="F21" s="265">
        <v>3288.1355932203392</v>
      </c>
    </row>
    <row r="22" spans="2:6" ht="15" customHeight="1" x14ac:dyDescent="0.25">
      <c r="B22" s="264" t="s">
        <v>457</v>
      </c>
      <c r="C22" s="264" t="s">
        <v>458</v>
      </c>
      <c r="D22" s="264" t="s">
        <v>432</v>
      </c>
      <c r="E22" s="264">
        <v>63</v>
      </c>
      <c r="F22" s="265">
        <v>1815.2542372881358</v>
      </c>
    </row>
    <row r="23" spans="2:6" ht="15" customHeight="1" x14ac:dyDescent="0.25">
      <c r="B23" s="264" t="s">
        <v>459</v>
      </c>
      <c r="C23" s="264" t="s">
        <v>460</v>
      </c>
      <c r="D23" s="264" t="s">
        <v>432</v>
      </c>
      <c r="E23" s="264">
        <v>81</v>
      </c>
      <c r="F23" s="265">
        <v>3912.71186440678</v>
      </c>
    </row>
    <row r="24" spans="2:6" ht="15" customHeight="1" x14ac:dyDescent="0.25">
      <c r="B24" s="264" t="s">
        <v>461</v>
      </c>
      <c r="C24" s="264" t="s">
        <v>462</v>
      </c>
      <c r="D24" s="264" t="s">
        <v>432</v>
      </c>
      <c r="E24" s="264">
        <v>148</v>
      </c>
      <c r="F24" s="265">
        <v>27593.245762711864</v>
      </c>
    </row>
    <row r="25" spans="2:6" ht="15" customHeight="1" x14ac:dyDescent="0.25">
      <c r="B25" s="264" t="s">
        <v>463</v>
      </c>
      <c r="C25" s="264" t="s">
        <v>464</v>
      </c>
      <c r="D25" s="264" t="s">
        <v>432</v>
      </c>
      <c r="E25" s="264">
        <v>808</v>
      </c>
      <c r="F25" s="265">
        <v>30813.567796610172</v>
      </c>
    </row>
    <row r="26" spans="2:6" ht="15" customHeight="1" x14ac:dyDescent="0.25">
      <c r="B26" s="264" t="s">
        <v>465</v>
      </c>
      <c r="C26" s="264" t="s">
        <v>466</v>
      </c>
      <c r="D26" s="264" t="s">
        <v>432</v>
      </c>
      <c r="E26" s="264">
        <v>137</v>
      </c>
      <c r="F26" s="265">
        <v>8823.7288135593226</v>
      </c>
    </row>
    <row r="27" spans="2:6" ht="15" customHeight="1" x14ac:dyDescent="0.25">
      <c r="B27" s="264" t="s">
        <v>467</v>
      </c>
      <c r="C27" s="264" t="s">
        <v>468</v>
      </c>
      <c r="D27" s="264" t="s">
        <v>432</v>
      </c>
      <c r="E27" s="264">
        <v>256</v>
      </c>
      <c r="F27" s="265">
        <v>21694.923728813559</v>
      </c>
    </row>
    <row r="28" spans="2:6" ht="15" customHeight="1" x14ac:dyDescent="0.25">
      <c r="B28" s="264" t="s">
        <v>469</v>
      </c>
      <c r="C28" s="264" t="s">
        <v>470</v>
      </c>
      <c r="D28" s="264" t="s">
        <v>432</v>
      </c>
      <c r="E28" s="264">
        <v>48</v>
      </c>
      <c r="F28" s="265">
        <v>551.59322033898309</v>
      </c>
    </row>
    <row r="29" spans="2:6" ht="15" customHeight="1" x14ac:dyDescent="0.25">
      <c r="B29" s="264" t="s">
        <v>471</v>
      </c>
      <c r="C29" s="264" t="s">
        <v>472</v>
      </c>
      <c r="D29" s="264" t="s">
        <v>432</v>
      </c>
      <c r="E29" s="264">
        <v>379</v>
      </c>
      <c r="F29" s="265">
        <v>70917.96610169491</v>
      </c>
    </row>
    <row r="30" spans="2:6" ht="15" customHeight="1" x14ac:dyDescent="0.25">
      <c r="B30" s="264" t="s">
        <v>473</v>
      </c>
      <c r="C30" s="264" t="s">
        <v>474</v>
      </c>
      <c r="D30" s="264" t="s">
        <v>432</v>
      </c>
      <c r="E30" s="264">
        <v>716</v>
      </c>
      <c r="F30" s="265">
        <v>189804.44067796611</v>
      </c>
    </row>
    <row r="31" spans="2:6" ht="15" customHeight="1" x14ac:dyDescent="0.25">
      <c r="B31" s="264" t="s">
        <v>475</v>
      </c>
      <c r="C31" s="264" t="s">
        <v>476</v>
      </c>
      <c r="D31" s="264" t="s">
        <v>432</v>
      </c>
      <c r="E31" s="264">
        <v>64</v>
      </c>
      <c r="F31" s="265">
        <v>25073.898305084749</v>
      </c>
    </row>
    <row r="32" spans="2:6" ht="15" customHeight="1" x14ac:dyDescent="0.25">
      <c r="B32" s="264" t="s">
        <v>477</v>
      </c>
      <c r="C32" s="264" t="s">
        <v>478</v>
      </c>
      <c r="D32" s="264" t="s">
        <v>432</v>
      </c>
      <c r="E32" s="264">
        <v>55</v>
      </c>
      <c r="F32" s="265">
        <v>36449.152542372882</v>
      </c>
    </row>
    <row r="33" spans="2:6" ht="15" customHeight="1" x14ac:dyDescent="0.25">
      <c r="B33" s="264" t="s">
        <v>479</v>
      </c>
      <c r="C33" s="264" t="s">
        <v>480</v>
      </c>
      <c r="D33" s="264" t="s">
        <v>432</v>
      </c>
      <c r="E33" s="264">
        <v>103</v>
      </c>
      <c r="F33" s="265">
        <v>190222.45762711865</v>
      </c>
    </row>
    <row r="34" spans="2:6" ht="15" customHeight="1" x14ac:dyDescent="0.25">
      <c r="B34" s="264" t="s">
        <v>481</v>
      </c>
      <c r="C34" s="264" t="s">
        <v>482</v>
      </c>
      <c r="D34" s="264" t="s">
        <v>432</v>
      </c>
      <c r="E34" s="264">
        <v>75</v>
      </c>
      <c r="F34" s="265">
        <v>196986.75423728814</v>
      </c>
    </row>
    <row r="35" spans="2:6" ht="15" customHeight="1" x14ac:dyDescent="0.25">
      <c r="B35" s="264" t="s">
        <v>483</v>
      </c>
      <c r="C35" s="264" t="s">
        <v>484</v>
      </c>
      <c r="D35" s="264" t="s">
        <v>432</v>
      </c>
      <c r="E35" s="264">
        <v>16</v>
      </c>
      <c r="F35" s="265">
        <v>84854.237288135599</v>
      </c>
    </row>
    <row r="36" spans="2:6" ht="15" customHeight="1" x14ac:dyDescent="0.25">
      <c r="B36" s="264" t="s">
        <v>485</v>
      </c>
      <c r="C36" s="264" t="s">
        <v>486</v>
      </c>
      <c r="D36" s="264" t="s">
        <v>432</v>
      </c>
      <c r="E36" s="264">
        <v>9</v>
      </c>
      <c r="F36" s="265">
        <v>71847.457627118652</v>
      </c>
    </row>
    <row r="37" spans="2:6" ht="15" customHeight="1" x14ac:dyDescent="0.25">
      <c r="B37" s="264" t="s">
        <v>487</v>
      </c>
      <c r="C37" s="264" t="s">
        <v>488</v>
      </c>
      <c r="D37" s="264" t="s">
        <v>432</v>
      </c>
      <c r="E37" s="264">
        <v>27</v>
      </c>
      <c r="F37" s="265">
        <v>29745.762711864409</v>
      </c>
    </row>
    <row r="38" spans="2:6" ht="15" customHeight="1" x14ac:dyDescent="0.25">
      <c r="B38" s="264" t="s">
        <v>489</v>
      </c>
      <c r="C38" s="264" t="s">
        <v>490</v>
      </c>
      <c r="D38" s="264" t="s">
        <v>432</v>
      </c>
      <c r="E38" s="264">
        <v>26</v>
      </c>
      <c r="F38" s="265">
        <v>15163.288135593222</v>
      </c>
    </row>
    <row r="39" spans="2:6" ht="15" customHeight="1" x14ac:dyDescent="0.25">
      <c r="B39" s="264" t="s">
        <v>491</v>
      </c>
      <c r="C39" s="264" t="s">
        <v>492</v>
      </c>
      <c r="D39" s="264" t="s">
        <v>432</v>
      </c>
      <c r="E39" s="264">
        <v>632</v>
      </c>
      <c r="F39" s="265">
        <v>32135.593220338986</v>
      </c>
    </row>
    <row r="40" spans="2:6" ht="15" customHeight="1" x14ac:dyDescent="0.25">
      <c r="B40" s="264" t="s">
        <v>493</v>
      </c>
      <c r="C40" s="264" t="s">
        <v>494</v>
      </c>
      <c r="D40" s="264" t="s">
        <v>432</v>
      </c>
      <c r="E40" s="264">
        <v>22</v>
      </c>
      <c r="F40" s="265">
        <v>45760.000000000007</v>
      </c>
    </row>
    <row r="41" spans="2:6" ht="15" customHeight="1" x14ac:dyDescent="0.25">
      <c r="B41" s="264" t="s">
        <v>495</v>
      </c>
      <c r="C41" s="264" t="s">
        <v>496</v>
      </c>
      <c r="D41" s="264" t="s">
        <v>432</v>
      </c>
      <c r="E41" s="264">
        <v>88</v>
      </c>
      <c r="F41" s="265">
        <v>969.49152542372883</v>
      </c>
    </row>
    <row r="42" spans="2:6" ht="15" customHeight="1" x14ac:dyDescent="0.25">
      <c r="B42" s="264" t="s">
        <v>497</v>
      </c>
      <c r="C42" s="264" t="s">
        <v>498</v>
      </c>
      <c r="D42" s="264" t="s">
        <v>432</v>
      </c>
      <c r="E42" s="264">
        <v>12</v>
      </c>
      <c r="F42" s="265">
        <v>420.00000000000006</v>
      </c>
    </row>
    <row r="43" spans="2:6" ht="15" customHeight="1" x14ac:dyDescent="0.25">
      <c r="B43" s="264" t="s">
        <v>499</v>
      </c>
      <c r="C43" s="264" t="s">
        <v>500</v>
      </c>
      <c r="D43" s="264" t="s">
        <v>432</v>
      </c>
      <c r="E43" s="264">
        <v>60</v>
      </c>
      <c r="F43" s="265">
        <v>2542.2118644067796</v>
      </c>
    </row>
    <row r="44" spans="2:6" ht="15" customHeight="1" x14ac:dyDescent="0.25">
      <c r="B44" s="264" t="s">
        <v>501</v>
      </c>
      <c r="C44" s="264" t="s">
        <v>502</v>
      </c>
      <c r="D44" s="264" t="s">
        <v>432</v>
      </c>
      <c r="E44" s="264">
        <v>20</v>
      </c>
      <c r="F44" s="265">
        <v>745.76271186440681</v>
      </c>
    </row>
    <row r="45" spans="2:6" ht="15" customHeight="1" x14ac:dyDescent="0.25">
      <c r="B45" s="264" t="s">
        <v>503</v>
      </c>
      <c r="C45" s="264" t="s">
        <v>504</v>
      </c>
      <c r="D45" s="264" t="s">
        <v>432</v>
      </c>
      <c r="E45" s="264">
        <v>2</v>
      </c>
      <c r="F45" s="265">
        <v>210.00000000000003</v>
      </c>
    </row>
    <row r="46" spans="2:6" ht="15" customHeight="1" x14ac:dyDescent="0.25">
      <c r="B46" s="264" t="s">
        <v>505</v>
      </c>
      <c r="C46" s="264" t="s">
        <v>506</v>
      </c>
      <c r="D46" s="264" t="s">
        <v>432</v>
      </c>
      <c r="E46" s="264">
        <v>41</v>
      </c>
      <c r="F46" s="265">
        <v>130.29661016949154</v>
      </c>
    </row>
    <row r="47" spans="2:6" ht="15" customHeight="1" x14ac:dyDescent="0.25">
      <c r="B47" s="264" t="s">
        <v>507</v>
      </c>
      <c r="C47" s="264" t="s">
        <v>508</v>
      </c>
      <c r="D47" s="264" t="s">
        <v>432</v>
      </c>
      <c r="E47" s="264">
        <v>1549</v>
      </c>
      <c r="F47" s="265">
        <v>2008.4491525423728</v>
      </c>
    </row>
    <row r="48" spans="2:6" ht="15" customHeight="1" x14ac:dyDescent="0.25">
      <c r="B48" s="264" t="s">
        <v>509</v>
      </c>
      <c r="C48" s="264" t="s">
        <v>510</v>
      </c>
      <c r="D48" s="264" t="s">
        <v>432</v>
      </c>
      <c r="E48" s="264">
        <v>95</v>
      </c>
      <c r="F48" s="265">
        <v>3411.1440677966102</v>
      </c>
    </row>
    <row r="49" spans="2:6" ht="15" customHeight="1" x14ac:dyDescent="0.25">
      <c r="B49" s="264" t="s">
        <v>511</v>
      </c>
      <c r="C49" s="264" t="s">
        <v>512</v>
      </c>
      <c r="D49" s="264" t="s">
        <v>432</v>
      </c>
      <c r="E49" s="264">
        <v>194</v>
      </c>
      <c r="F49" s="265">
        <v>7399.9491525423737</v>
      </c>
    </row>
    <row r="50" spans="2:6" ht="15" customHeight="1" x14ac:dyDescent="0.25">
      <c r="B50" s="264" t="s">
        <v>513</v>
      </c>
      <c r="C50" s="264" t="s">
        <v>514</v>
      </c>
      <c r="D50" s="264" t="s">
        <v>432</v>
      </c>
      <c r="E50" s="264">
        <v>216</v>
      </c>
      <c r="F50" s="265">
        <v>49248</v>
      </c>
    </row>
    <row r="51" spans="2:6" ht="15" customHeight="1" x14ac:dyDescent="0.25">
      <c r="B51" s="264" t="s">
        <v>515</v>
      </c>
      <c r="C51" s="264" t="s">
        <v>516</v>
      </c>
      <c r="D51" s="264" t="s">
        <v>432</v>
      </c>
      <c r="E51" s="264">
        <v>6</v>
      </c>
      <c r="F51" s="265">
        <v>8135.5932203389839</v>
      </c>
    </row>
    <row r="52" spans="2:6" ht="15" customHeight="1" x14ac:dyDescent="0.25">
      <c r="B52" s="264" t="s">
        <v>517</v>
      </c>
      <c r="C52" s="264" t="s">
        <v>518</v>
      </c>
      <c r="D52" s="264" t="s">
        <v>432</v>
      </c>
      <c r="E52" s="264">
        <v>35</v>
      </c>
      <c r="F52" s="265">
        <v>175</v>
      </c>
    </row>
    <row r="53" spans="2:6" ht="15" customHeight="1" x14ac:dyDescent="0.25">
      <c r="B53" s="264" t="s">
        <v>519</v>
      </c>
      <c r="C53" s="264" t="s">
        <v>520</v>
      </c>
      <c r="D53" s="264" t="s">
        <v>432</v>
      </c>
      <c r="E53" s="264">
        <v>30</v>
      </c>
      <c r="F53" s="265">
        <v>180.00000000000003</v>
      </c>
    </row>
    <row r="54" spans="2:6" ht="15" customHeight="1" x14ac:dyDescent="0.25">
      <c r="B54" s="264" t="s">
        <v>521</v>
      </c>
      <c r="C54" s="264" t="s">
        <v>522</v>
      </c>
      <c r="D54" s="264" t="s">
        <v>432</v>
      </c>
      <c r="E54" s="264">
        <v>625</v>
      </c>
      <c r="F54" s="265">
        <v>27542.372881355932</v>
      </c>
    </row>
    <row r="55" spans="2:6" ht="15" customHeight="1" x14ac:dyDescent="0.25">
      <c r="B55" s="264" t="s">
        <v>523</v>
      </c>
      <c r="C55" s="264" t="s">
        <v>524</v>
      </c>
      <c r="D55" s="264" t="s">
        <v>432</v>
      </c>
      <c r="E55" s="264">
        <v>1</v>
      </c>
      <c r="F55" s="265">
        <v>208.46610169491527</v>
      </c>
    </row>
    <row r="56" spans="2:6" ht="15" customHeight="1" x14ac:dyDescent="0.25">
      <c r="B56" s="264" t="s">
        <v>525</v>
      </c>
      <c r="C56" s="264" t="s">
        <v>526</v>
      </c>
      <c r="D56" s="264" t="s">
        <v>432</v>
      </c>
      <c r="E56" s="264">
        <v>135</v>
      </c>
      <c r="F56" s="265">
        <v>12150</v>
      </c>
    </row>
    <row r="57" spans="2:6" ht="15" customHeight="1" x14ac:dyDescent="0.25">
      <c r="B57" s="264" t="s">
        <v>527</v>
      </c>
      <c r="C57" s="264" t="s">
        <v>528</v>
      </c>
      <c r="D57" s="264" t="s">
        <v>432</v>
      </c>
      <c r="E57" s="264">
        <v>137</v>
      </c>
      <c r="F57" s="265">
        <v>17125</v>
      </c>
    </row>
    <row r="58" spans="2:6" ht="15" customHeight="1" x14ac:dyDescent="0.25">
      <c r="B58" s="264" t="s">
        <v>529</v>
      </c>
      <c r="C58" s="264" t="s">
        <v>530</v>
      </c>
      <c r="D58" s="264" t="s">
        <v>432</v>
      </c>
      <c r="E58" s="264">
        <v>58</v>
      </c>
      <c r="F58" s="265">
        <v>14991.466101694916</v>
      </c>
    </row>
    <row r="59" spans="2:6" ht="15" customHeight="1" x14ac:dyDescent="0.25">
      <c r="B59" s="264" t="s">
        <v>531</v>
      </c>
      <c r="C59" s="264" t="s">
        <v>532</v>
      </c>
      <c r="D59" s="264" t="s">
        <v>432</v>
      </c>
      <c r="E59" s="264">
        <v>140</v>
      </c>
      <c r="F59" s="265">
        <v>8270.6779661016953</v>
      </c>
    </row>
    <row r="60" spans="2:6" ht="15" customHeight="1" x14ac:dyDescent="0.25">
      <c r="B60" s="264" t="s">
        <v>533</v>
      </c>
      <c r="C60" s="264" t="s">
        <v>534</v>
      </c>
      <c r="D60" s="264" t="s">
        <v>432</v>
      </c>
      <c r="E60" s="264">
        <v>14</v>
      </c>
      <c r="F60" s="265">
        <v>565.60169491525426</v>
      </c>
    </row>
    <row r="61" spans="2:6" ht="15" customHeight="1" x14ac:dyDescent="0.25">
      <c r="B61" s="264" t="s">
        <v>535</v>
      </c>
      <c r="C61" s="264" t="s">
        <v>536</v>
      </c>
      <c r="D61" s="264" t="s">
        <v>432</v>
      </c>
      <c r="E61" s="264">
        <v>78</v>
      </c>
      <c r="F61" s="265">
        <v>6610.1694915254238</v>
      </c>
    </row>
    <row r="62" spans="2:6" ht="15" customHeight="1" x14ac:dyDescent="0.25">
      <c r="B62" s="264" t="s">
        <v>537</v>
      </c>
      <c r="C62" s="264" t="s">
        <v>538</v>
      </c>
      <c r="D62" s="264" t="s">
        <v>432</v>
      </c>
      <c r="E62" s="264">
        <v>28</v>
      </c>
      <c r="F62" s="265">
        <v>3084.7457627118647</v>
      </c>
    </row>
    <row r="63" spans="2:6" ht="15" customHeight="1" x14ac:dyDescent="0.25">
      <c r="B63" s="264" t="s">
        <v>539</v>
      </c>
      <c r="C63" s="264" t="s">
        <v>540</v>
      </c>
      <c r="D63" s="264" t="s">
        <v>432</v>
      </c>
      <c r="E63" s="264">
        <v>50</v>
      </c>
      <c r="F63" s="265">
        <v>14500</v>
      </c>
    </row>
    <row r="64" spans="2:6" ht="15" customHeight="1" x14ac:dyDescent="0.25">
      <c r="B64" s="264" t="s">
        <v>541</v>
      </c>
      <c r="C64" s="264" t="s">
        <v>542</v>
      </c>
      <c r="D64" s="264" t="s">
        <v>432</v>
      </c>
      <c r="E64" s="264">
        <v>37</v>
      </c>
      <c r="F64" s="265">
        <v>10730</v>
      </c>
    </row>
    <row r="65" spans="2:6" ht="15" customHeight="1" x14ac:dyDescent="0.25">
      <c r="B65" s="264" t="s">
        <v>543</v>
      </c>
      <c r="C65" s="264" t="s">
        <v>544</v>
      </c>
      <c r="D65" s="264" t="s">
        <v>432</v>
      </c>
      <c r="E65" s="264">
        <v>57</v>
      </c>
      <c r="F65" s="265">
        <v>16530.000000000004</v>
      </c>
    </row>
    <row r="66" spans="2:6" ht="15" customHeight="1" x14ac:dyDescent="0.25">
      <c r="B66" s="264" t="s">
        <v>545</v>
      </c>
      <c r="C66" s="264" t="s">
        <v>546</v>
      </c>
      <c r="D66" s="264" t="s">
        <v>432</v>
      </c>
      <c r="E66" s="264">
        <v>49</v>
      </c>
      <c r="F66" s="265">
        <v>2450</v>
      </c>
    </row>
    <row r="67" spans="2:6" ht="15" customHeight="1" x14ac:dyDescent="0.25">
      <c r="B67" s="264" t="s">
        <v>547</v>
      </c>
      <c r="C67" s="264" t="s">
        <v>548</v>
      </c>
      <c r="D67" s="264" t="s">
        <v>432</v>
      </c>
      <c r="E67" s="264">
        <v>41</v>
      </c>
      <c r="F67" s="265">
        <v>5453</v>
      </c>
    </row>
    <row r="68" spans="2:6" ht="15" customHeight="1" x14ac:dyDescent="0.25">
      <c r="B68" s="264" t="s">
        <v>549</v>
      </c>
      <c r="C68" s="264" t="s">
        <v>550</v>
      </c>
      <c r="D68" s="264" t="s">
        <v>432</v>
      </c>
      <c r="E68" s="264">
        <v>445</v>
      </c>
      <c r="F68" s="265">
        <v>41385.000000000007</v>
      </c>
    </row>
    <row r="69" spans="2:6" ht="15" customHeight="1" x14ac:dyDescent="0.25">
      <c r="B69" s="264" t="s">
        <v>551</v>
      </c>
      <c r="C69" s="264" t="s">
        <v>552</v>
      </c>
      <c r="D69" s="264" t="s">
        <v>432</v>
      </c>
      <c r="E69" s="264">
        <v>3</v>
      </c>
      <c r="F69" s="265">
        <v>270.00000000000006</v>
      </c>
    </row>
    <row r="70" spans="2:6" ht="15" customHeight="1" x14ac:dyDescent="0.25">
      <c r="B70" s="264" t="s">
        <v>553</v>
      </c>
      <c r="C70" s="264" t="s">
        <v>554</v>
      </c>
      <c r="D70" s="264" t="s">
        <v>432</v>
      </c>
      <c r="E70" s="264">
        <v>108</v>
      </c>
      <c r="F70" s="265">
        <v>11880</v>
      </c>
    </row>
    <row r="71" spans="2:6" ht="15" customHeight="1" x14ac:dyDescent="0.25">
      <c r="B71" s="264" t="s">
        <v>555</v>
      </c>
      <c r="C71" s="264" t="s">
        <v>556</v>
      </c>
      <c r="D71" s="264" t="s">
        <v>432</v>
      </c>
      <c r="E71" s="264">
        <v>56</v>
      </c>
      <c r="F71" s="265">
        <v>3559.3220338983051</v>
      </c>
    </row>
    <row r="72" spans="2:6" ht="15" customHeight="1" x14ac:dyDescent="0.25">
      <c r="B72" s="264" t="s">
        <v>557</v>
      </c>
      <c r="C72" s="264" t="s">
        <v>558</v>
      </c>
      <c r="D72" s="264" t="s">
        <v>432</v>
      </c>
      <c r="E72" s="264">
        <v>34</v>
      </c>
      <c r="F72" s="265">
        <v>4420.0000000000009</v>
      </c>
    </row>
    <row r="73" spans="2:6" ht="15" customHeight="1" x14ac:dyDescent="0.25">
      <c r="B73" s="264" t="s">
        <v>559</v>
      </c>
      <c r="C73" s="264" t="s">
        <v>560</v>
      </c>
      <c r="D73" s="264" t="s">
        <v>432</v>
      </c>
      <c r="E73" s="264">
        <v>14</v>
      </c>
      <c r="F73" s="265">
        <v>3500</v>
      </c>
    </row>
    <row r="74" spans="2:6" ht="15" customHeight="1" x14ac:dyDescent="0.25">
      <c r="B74" s="264" t="s">
        <v>561</v>
      </c>
      <c r="C74" s="264" t="s">
        <v>562</v>
      </c>
      <c r="D74" s="264" t="s">
        <v>432</v>
      </c>
      <c r="E74" s="264">
        <v>1</v>
      </c>
      <c r="F74" s="265">
        <v>720.33898305084745</v>
      </c>
    </row>
    <row r="75" spans="2:6" ht="15" customHeight="1" x14ac:dyDescent="0.25">
      <c r="B75" s="264" t="s">
        <v>563</v>
      </c>
      <c r="C75" s="264" t="s">
        <v>564</v>
      </c>
      <c r="D75" s="264" t="s">
        <v>432</v>
      </c>
      <c r="E75" s="264">
        <v>1</v>
      </c>
      <c r="F75" s="265">
        <v>145</v>
      </c>
    </row>
    <row r="76" spans="2:6" ht="15" customHeight="1" x14ac:dyDescent="0.25">
      <c r="B76" s="264" t="s">
        <v>565</v>
      </c>
      <c r="C76" s="264" t="s">
        <v>566</v>
      </c>
      <c r="D76" s="264" t="s">
        <v>432</v>
      </c>
      <c r="E76" s="264">
        <v>164</v>
      </c>
      <c r="F76" s="265">
        <v>8339.0084745762724</v>
      </c>
    </row>
    <row r="77" spans="2:6" ht="15" customHeight="1" x14ac:dyDescent="0.25">
      <c r="B77" s="264" t="s">
        <v>567</v>
      </c>
      <c r="C77" s="264" t="s">
        <v>568</v>
      </c>
      <c r="D77" s="264" t="s">
        <v>432</v>
      </c>
      <c r="E77" s="264">
        <v>680</v>
      </c>
      <c r="F77" s="265">
        <v>5762.7118644067796</v>
      </c>
    </row>
    <row r="78" spans="2:6" ht="15" customHeight="1" x14ac:dyDescent="0.25">
      <c r="B78" s="264" t="s">
        <v>569</v>
      </c>
      <c r="C78" s="264" t="s">
        <v>570</v>
      </c>
      <c r="D78" s="264" t="s">
        <v>432</v>
      </c>
      <c r="E78" s="264">
        <v>932</v>
      </c>
      <c r="F78" s="265">
        <v>10267.796610169493</v>
      </c>
    </row>
    <row r="79" spans="2:6" ht="15" customHeight="1" x14ac:dyDescent="0.25">
      <c r="B79" s="264" t="s">
        <v>571</v>
      </c>
      <c r="C79" s="264" t="s">
        <v>572</v>
      </c>
      <c r="D79" s="264" t="s">
        <v>432</v>
      </c>
      <c r="E79" s="264">
        <v>105</v>
      </c>
      <c r="F79" s="265">
        <v>13650</v>
      </c>
    </row>
    <row r="80" spans="2:6" ht="15" customHeight="1" x14ac:dyDescent="0.25">
      <c r="B80" s="264" t="s">
        <v>573</v>
      </c>
      <c r="C80" s="264" t="s">
        <v>574</v>
      </c>
      <c r="D80" s="264" t="s">
        <v>432</v>
      </c>
      <c r="E80" s="264">
        <v>1119</v>
      </c>
      <c r="F80" s="265">
        <v>1014.6864406779661</v>
      </c>
    </row>
    <row r="81" spans="2:6" ht="15" customHeight="1" x14ac:dyDescent="0.25">
      <c r="B81" s="264" t="s">
        <v>575</v>
      </c>
      <c r="C81" s="264" t="s">
        <v>576</v>
      </c>
      <c r="D81" s="264" t="s">
        <v>432</v>
      </c>
      <c r="E81" s="264">
        <v>300</v>
      </c>
      <c r="F81" s="265">
        <v>6186.5</v>
      </c>
    </row>
    <row r="82" spans="2:6" ht="15" customHeight="1" x14ac:dyDescent="0.25">
      <c r="B82" s="264" t="s">
        <v>577</v>
      </c>
      <c r="C82" s="264" t="s">
        <v>578</v>
      </c>
      <c r="D82" s="264" t="s">
        <v>432</v>
      </c>
      <c r="E82" s="264">
        <v>11</v>
      </c>
      <c r="F82" s="265">
        <v>682.83898305084745</v>
      </c>
    </row>
    <row r="83" spans="2:6" ht="15" customHeight="1" x14ac:dyDescent="0.25">
      <c r="B83" s="264" t="s">
        <v>579</v>
      </c>
      <c r="C83" s="264" t="s">
        <v>580</v>
      </c>
      <c r="D83" s="264" t="s">
        <v>432</v>
      </c>
      <c r="E83" s="264">
        <v>13</v>
      </c>
      <c r="F83" s="265">
        <v>1146.9745762711866</v>
      </c>
    </row>
    <row r="84" spans="2:6" ht="15" customHeight="1" x14ac:dyDescent="0.25">
      <c r="B84" s="264" t="s">
        <v>581</v>
      </c>
      <c r="C84" s="264" t="s">
        <v>582</v>
      </c>
      <c r="D84" s="264" t="s">
        <v>432</v>
      </c>
      <c r="E84" s="264">
        <v>16</v>
      </c>
      <c r="F84" s="265">
        <v>2526.5254237288136</v>
      </c>
    </row>
    <row r="85" spans="2:6" ht="15" customHeight="1" x14ac:dyDescent="0.25">
      <c r="B85" s="264" t="s">
        <v>583</v>
      </c>
      <c r="C85" s="264" t="s">
        <v>584</v>
      </c>
      <c r="D85" s="264" t="s">
        <v>432</v>
      </c>
      <c r="E85" s="264">
        <v>137</v>
      </c>
      <c r="F85" s="265">
        <v>406.35593220338984</v>
      </c>
    </row>
    <row r="86" spans="2:6" ht="15" customHeight="1" x14ac:dyDescent="0.25">
      <c r="B86" s="264" t="s">
        <v>585</v>
      </c>
      <c r="C86" s="264" t="s">
        <v>586</v>
      </c>
      <c r="D86" s="264" t="s">
        <v>432</v>
      </c>
      <c r="E86" s="264">
        <v>1</v>
      </c>
      <c r="F86" s="265">
        <v>122.88135593220339</v>
      </c>
    </row>
    <row r="87" spans="2:6" ht="15" customHeight="1" x14ac:dyDescent="0.25">
      <c r="B87" s="264" t="s">
        <v>587</v>
      </c>
      <c r="C87" s="264" t="s">
        <v>588</v>
      </c>
      <c r="D87" s="264" t="s">
        <v>432</v>
      </c>
      <c r="E87" s="264">
        <v>27</v>
      </c>
      <c r="F87" s="265">
        <v>2425.8813559322034</v>
      </c>
    </row>
    <row r="88" spans="2:6" ht="15" customHeight="1" x14ac:dyDescent="0.25">
      <c r="B88" s="264" t="s">
        <v>589</v>
      </c>
      <c r="C88" s="264" t="s">
        <v>590</v>
      </c>
      <c r="D88" s="264" t="s">
        <v>432</v>
      </c>
      <c r="E88" s="264">
        <v>32</v>
      </c>
      <c r="F88" s="265">
        <v>3232.0000000000005</v>
      </c>
    </row>
    <row r="89" spans="2:6" ht="15" customHeight="1" x14ac:dyDescent="0.25">
      <c r="B89" s="264" t="s">
        <v>591</v>
      </c>
      <c r="C89" s="264" t="s">
        <v>592</v>
      </c>
      <c r="D89" s="264" t="s">
        <v>432</v>
      </c>
      <c r="E89" s="264">
        <v>574</v>
      </c>
      <c r="F89" s="265">
        <v>1070169.4915254237</v>
      </c>
    </row>
    <row r="90" spans="2:6" ht="15" customHeight="1" x14ac:dyDescent="0.25">
      <c r="B90" s="264" t="s">
        <v>593</v>
      </c>
      <c r="C90" s="264" t="s">
        <v>594</v>
      </c>
      <c r="D90" s="264" t="s">
        <v>432</v>
      </c>
      <c r="E90" s="264">
        <v>1</v>
      </c>
      <c r="F90" s="265">
        <v>10800</v>
      </c>
    </row>
    <row r="91" spans="2:6" ht="15" customHeight="1" x14ac:dyDescent="0.25">
      <c r="B91" s="264" t="s">
        <v>595</v>
      </c>
      <c r="C91" s="264" t="s">
        <v>596</v>
      </c>
      <c r="D91" s="264" t="s">
        <v>432</v>
      </c>
      <c r="E91" s="264">
        <v>16000</v>
      </c>
      <c r="F91" s="265">
        <v>540800</v>
      </c>
    </row>
    <row r="92" spans="2:6" ht="15" customHeight="1" x14ac:dyDescent="0.25">
      <c r="B92" s="264" t="s">
        <v>597</v>
      </c>
      <c r="C92" s="264" t="s">
        <v>598</v>
      </c>
      <c r="D92" s="264" t="s">
        <v>432</v>
      </c>
      <c r="E92" s="264">
        <v>4</v>
      </c>
      <c r="F92" s="265">
        <v>3122.0423728813562</v>
      </c>
    </row>
    <row r="93" spans="2:6" ht="15" customHeight="1" x14ac:dyDescent="0.25">
      <c r="B93" s="264" t="s">
        <v>599</v>
      </c>
      <c r="C93" s="264" t="s">
        <v>600</v>
      </c>
      <c r="D93" s="264" t="s">
        <v>432</v>
      </c>
      <c r="E93" s="264">
        <v>170</v>
      </c>
      <c r="F93" s="265">
        <v>4250</v>
      </c>
    </row>
    <row r="94" spans="2:6" ht="15" customHeight="1" x14ac:dyDescent="0.25">
      <c r="B94" s="264" t="s">
        <v>601</v>
      </c>
      <c r="C94" s="264" t="s">
        <v>602</v>
      </c>
      <c r="D94" s="264" t="s">
        <v>432</v>
      </c>
      <c r="E94" s="264">
        <v>58</v>
      </c>
      <c r="F94" s="265">
        <v>294.42372881355936</v>
      </c>
    </row>
    <row r="95" spans="2:6" ht="15" customHeight="1" x14ac:dyDescent="0.25">
      <c r="B95" s="264" t="s">
        <v>603</v>
      </c>
      <c r="C95" s="264" t="s">
        <v>604</v>
      </c>
      <c r="D95" s="264" t="s">
        <v>432</v>
      </c>
      <c r="E95" s="264">
        <v>54</v>
      </c>
      <c r="F95" s="265">
        <v>457.16949152542378</v>
      </c>
    </row>
    <row r="96" spans="2:6" ht="15" customHeight="1" x14ac:dyDescent="0.25">
      <c r="B96" s="264" t="s">
        <v>605</v>
      </c>
      <c r="C96" s="264" t="s">
        <v>606</v>
      </c>
      <c r="D96" s="264" t="s">
        <v>432</v>
      </c>
      <c r="E96" s="264">
        <v>18</v>
      </c>
      <c r="F96" s="265">
        <v>605.13559322033893</v>
      </c>
    </row>
    <row r="97" spans="2:6" ht="15" customHeight="1" x14ac:dyDescent="0.25">
      <c r="B97" s="264" t="s">
        <v>607</v>
      </c>
      <c r="C97" s="264" t="s">
        <v>608</v>
      </c>
      <c r="D97" s="264" t="s">
        <v>432</v>
      </c>
      <c r="E97" s="264">
        <v>439</v>
      </c>
      <c r="F97" s="265">
        <v>966544.06779661018</v>
      </c>
    </row>
    <row r="98" spans="2:6" ht="15" customHeight="1" x14ac:dyDescent="0.25">
      <c r="B98" s="264" t="s">
        <v>609</v>
      </c>
      <c r="C98" s="264" t="s">
        <v>610</v>
      </c>
      <c r="D98" s="264" t="s">
        <v>432</v>
      </c>
      <c r="E98" s="264">
        <v>3</v>
      </c>
      <c r="F98" s="265">
        <v>889.83050847457628</v>
      </c>
    </row>
    <row r="99" spans="2:6" ht="15" customHeight="1" x14ac:dyDescent="0.25">
      <c r="B99" s="264" t="s">
        <v>611</v>
      </c>
      <c r="C99" s="264" t="s">
        <v>612</v>
      </c>
      <c r="D99" s="264" t="s">
        <v>432</v>
      </c>
      <c r="E99" s="264">
        <v>1</v>
      </c>
      <c r="F99" s="265">
        <v>1795.457627118644</v>
      </c>
    </row>
    <row r="100" spans="2:6" ht="15" customHeight="1" x14ac:dyDescent="0.25">
      <c r="B100" s="264" t="s">
        <v>613</v>
      </c>
      <c r="C100" s="264" t="s">
        <v>614</v>
      </c>
      <c r="D100" s="264" t="s">
        <v>432</v>
      </c>
      <c r="E100" s="264">
        <v>10</v>
      </c>
      <c r="F100" s="265">
        <v>444.60169491525426</v>
      </c>
    </row>
    <row r="101" spans="2:6" ht="15" customHeight="1" x14ac:dyDescent="0.25">
      <c r="B101" s="264" t="s">
        <v>615</v>
      </c>
      <c r="C101" s="264" t="s">
        <v>616</v>
      </c>
      <c r="D101" s="264" t="s">
        <v>432</v>
      </c>
      <c r="E101" s="264">
        <v>6</v>
      </c>
      <c r="F101" s="265">
        <v>966.00000000000011</v>
      </c>
    </row>
    <row r="102" spans="2:6" ht="15" customHeight="1" x14ac:dyDescent="0.25">
      <c r="B102" s="264" t="s">
        <v>617</v>
      </c>
      <c r="C102" s="264" t="s">
        <v>618</v>
      </c>
      <c r="D102" s="264" t="s">
        <v>432</v>
      </c>
      <c r="E102" s="264">
        <v>16</v>
      </c>
      <c r="F102" s="265">
        <v>1762.7118644067798</v>
      </c>
    </row>
    <row r="103" spans="2:6" ht="15" customHeight="1" x14ac:dyDescent="0.25">
      <c r="B103" s="264" t="s">
        <v>619</v>
      </c>
      <c r="C103" s="264" t="s">
        <v>620</v>
      </c>
      <c r="D103" s="264" t="s">
        <v>432</v>
      </c>
      <c r="E103" s="264">
        <v>4</v>
      </c>
      <c r="F103" s="265">
        <v>93060.000000000015</v>
      </c>
    </row>
    <row r="104" spans="2:6" ht="15" customHeight="1" x14ac:dyDescent="0.25">
      <c r="B104" s="264" t="s">
        <v>621</v>
      </c>
      <c r="C104" s="264" t="s">
        <v>622</v>
      </c>
      <c r="D104" s="264" t="s">
        <v>432</v>
      </c>
      <c r="E104" s="264">
        <v>6</v>
      </c>
      <c r="F104" s="265">
        <v>51000</v>
      </c>
    </row>
    <row r="105" spans="2:6" ht="15" customHeight="1" x14ac:dyDescent="0.25">
      <c r="B105" s="264" t="s">
        <v>623</v>
      </c>
      <c r="C105" s="264" t="s">
        <v>624</v>
      </c>
      <c r="D105" s="264" t="s">
        <v>432</v>
      </c>
      <c r="E105" s="264">
        <v>5</v>
      </c>
      <c r="F105" s="265">
        <v>29000</v>
      </c>
    </row>
    <row r="106" spans="2:6" ht="15" customHeight="1" x14ac:dyDescent="0.25">
      <c r="B106" s="264" t="s">
        <v>625</v>
      </c>
      <c r="C106" s="264" t="s">
        <v>626</v>
      </c>
      <c r="D106" s="264" t="s">
        <v>432</v>
      </c>
      <c r="E106" s="264">
        <v>2</v>
      </c>
      <c r="F106" s="265">
        <v>3860.0000000000005</v>
      </c>
    </row>
    <row r="107" spans="2:6" ht="15" customHeight="1" x14ac:dyDescent="0.25">
      <c r="B107" s="264" t="s">
        <v>627</v>
      </c>
      <c r="C107" s="264" t="s">
        <v>628</v>
      </c>
      <c r="D107" s="264" t="s">
        <v>432</v>
      </c>
      <c r="E107" s="264">
        <v>26</v>
      </c>
      <c r="F107" s="265">
        <v>28600</v>
      </c>
    </row>
    <row r="108" spans="2:6" ht="15" customHeight="1" x14ac:dyDescent="0.25">
      <c r="B108" s="264" t="s">
        <v>629</v>
      </c>
      <c r="C108" s="264" t="s">
        <v>630</v>
      </c>
      <c r="D108" s="264" t="s">
        <v>432</v>
      </c>
      <c r="E108" s="264">
        <v>3</v>
      </c>
      <c r="F108" s="265">
        <v>32250</v>
      </c>
    </row>
    <row r="109" spans="2:6" ht="15" customHeight="1" x14ac:dyDescent="0.25">
      <c r="B109" s="264" t="s">
        <v>631</v>
      </c>
      <c r="C109" s="264" t="s">
        <v>632</v>
      </c>
      <c r="D109" s="264" t="s">
        <v>432</v>
      </c>
      <c r="E109" s="264">
        <v>23</v>
      </c>
      <c r="F109" s="265">
        <v>928.96610169491532</v>
      </c>
    </row>
    <row r="110" spans="2:6" ht="15" customHeight="1" x14ac:dyDescent="0.25">
      <c r="B110" s="264" t="s">
        <v>633</v>
      </c>
      <c r="C110" s="264" t="s">
        <v>634</v>
      </c>
      <c r="D110" s="264" t="s">
        <v>432</v>
      </c>
      <c r="E110" s="264">
        <v>1247</v>
      </c>
      <c r="F110" s="265">
        <v>23249.152542372882</v>
      </c>
    </row>
    <row r="111" spans="2:6" ht="15" customHeight="1" x14ac:dyDescent="0.25">
      <c r="B111" s="264" t="s">
        <v>635</v>
      </c>
      <c r="C111" s="264" t="s">
        <v>636</v>
      </c>
      <c r="D111" s="264" t="s">
        <v>432</v>
      </c>
      <c r="E111" s="264">
        <v>13</v>
      </c>
      <c r="F111" s="265">
        <v>1574.3220338983051</v>
      </c>
    </row>
    <row r="112" spans="2:6" ht="15" customHeight="1" x14ac:dyDescent="0.25">
      <c r="B112" s="264" t="s">
        <v>637</v>
      </c>
      <c r="C112" s="264" t="s">
        <v>638</v>
      </c>
      <c r="D112" s="264" t="s">
        <v>432</v>
      </c>
      <c r="E112" s="264">
        <v>23</v>
      </c>
      <c r="F112" s="265">
        <v>6670.0000000000009</v>
      </c>
    </row>
    <row r="113" spans="2:6" ht="15" customHeight="1" x14ac:dyDescent="0.25">
      <c r="B113" s="264" t="s">
        <v>639</v>
      </c>
      <c r="C113" s="264" t="s">
        <v>640</v>
      </c>
      <c r="D113" s="264" t="s">
        <v>432</v>
      </c>
      <c r="E113" s="264">
        <v>134</v>
      </c>
      <c r="F113" s="265">
        <v>66866.000000000015</v>
      </c>
    </row>
    <row r="114" spans="2:6" ht="15" customHeight="1" x14ac:dyDescent="0.25">
      <c r="B114" s="264" t="s">
        <v>641</v>
      </c>
      <c r="C114" s="264" t="s">
        <v>642</v>
      </c>
      <c r="D114" s="264" t="s">
        <v>432</v>
      </c>
      <c r="E114" s="264">
        <v>12</v>
      </c>
      <c r="F114" s="265">
        <v>35640</v>
      </c>
    </row>
    <row r="115" spans="2:6" ht="15" customHeight="1" x14ac:dyDescent="0.25">
      <c r="B115" s="264" t="s">
        <v>643</v>
      </c>
      <c r="C115" s="264" t="s">
        <v>644</v>
      </c>
      <c r="D115" s="264" t="s">
        <v>432</v>
      </c>
      <c r="E115" s="264">
        <v>4</v>
      </c>
      <c r="F115" s="265">
        <v>154.83898305084747</v>
      </c>
    </row>
    <row r="116" spans="2:6" ht="15" customHeight="1" x14ac:dyDescent="0.25">
      <c r="B116" s="264" t="s">
        <v>645</v>
      </c>
      <c r="C116" s="264" t="s">
        <v>646</v>
      </c>
      <c r="D116" s="264" t="s">
        <v>432</v>
      </c>
      <c r="E116" s="264">
        <v>280.39999999999998</v>
      </c>
      <c r="F116" s="265">
        <v>56664.923728813563</v>
      </c>
    </row>
    <row r="117" spans="2:6" ht="15" customHeight="1" x14ac:dyDescent="0.25">
      <c r="B117" s="264" t="s">
        <v>647</v>
      </c>
      <c r="C117" s="264" t="s">
        <v>648</v>
      </c>
      <c r="D117" s="264" t="s">
        <v>432</v>
      </c>
      <c r="E117" s="264">
        <v>67</v>
      </c>
      <c r="F117" s="265">
        <v>10504.237288135593</v>
      </c>
    </row>
    <row r="118" spans="2:6" ht="15" customHeight="1" x14ac:dyDescent="0.25">
      <c r="B118" s="264" t="s">
        <v>649</v>
      </c>
      <c r="C118" s="264" t="s">
        <v>650</v>
      </c>
      <c r="D118" s="264" t="s">
        <v>432</v>
      </c>
      <c r="E118" s="264">
        <v>44</v>
      </c>
      <c r="F118" s="265">
        <v>9396.6101694915251</v>
      </c>
    </row>
    <row r="119" spans="2:6" ht="15" customHeight="1" x14ac:dyDescent="0.25">
      <c r="B119" s="264" t="s">
        <v>651</v>
      </c>
      <c r="C119" s="264" t="s">
        <v>652</v>
      </c>
      <c r="D119" s="264" t="s">
        <v>432</v>
      </c>
      <c r="E119" s="264">
        <v>20</v>
      </c>
      <c r="F119" s="265">
        <v>5691.1864406779669</v>
      </c>
    </row>
    <row r="120" spans="2:6" ht="15" customHeight="1" x14ac:dyDescent="0.25">
      <c r="B120" s="264" t="s">
        <v>653</v>
      </c>
      <c r="C120" s="264" t="s">
        <v>654</v>
      </c>
      <c r="D120" s="264" t="s">
        <v>432</v>
      </c>
      <c r="E120" s="264">
        <v>16</v>
      </c>
      <c r="F120" s="265">
        <v>1464.406779661017</v>
      </c>
    </row>
    <row r="121" spans="2:6" ht="15" customHeight="1" x14ac:dyDescent="0.25">
      <c r="B121" s="264" t="s">
        <v>655</v>
      </c>
      <c r="C121" s="264" t="s">
        <v>656</v>
      </c>
      <c r="D121" s="264" t="s">
        <v>432</v>
      </c>
      <c r="E121" s="264">
        <v>2</v>
      </c>
      <c r="F121" s="265">
        <v>423.72881355932208</v>
      </c>
    </row>
    <row r="122" spans="2:6" ht="15" customHeight="1" x14ac:dyDescent="0.25">
      <c r="B122" s="264" t="s">
        <v>657</v>
      </c>
      <c r="C122" s="264" t="s">
        <v>658</v>
      </c>
      <c r="D122" s="264" t="s">
        <v>432</v>
      </c>
      <c r="E122" s="264">
        <v>125</v>
      </c>
      <c r="F122" s="265">
        <v>4661.016949152543</v>
      </c>
    </row>
    <row r="123" spans="2:6" ht="15" customHeight="1" x14ac:dyDescent="0.25">
      <c r="B123" s="264" t="s">
        <v>659</v>
      </c>
      <c r="C123" s="264" t="s">
        <v>660</v>
      </c>
      <c r="D123" s="264" t="s">
        <v>432</v>
      </c>
      <c r="E123" s="264">
        <v>57</v>
      </c>
      <c r="F123" s="265">
        <v>1094.9830508474577</v>
      </c>
    </row>
    <row r="124" spans="2:6" ht="15" customHeight="1" x14ac:dyDescent="0.25">
      <c r="B124" s="264" t="s">
        <v>661</v>
      </c>
      <c r="C124" s="264" t="s">
        <v>662</v>
      </c>
      <c r="D124" s="264" t="s">
        <v>432</v>
      </c>
      <c r="E124" s="264">
        <v>137</v>
      </c>
      <c r="F124" s="265">
        <v>5235.9745762711864</v>
      </c>
    </row>
    <row r="125" spans="2:6" ht="15" customHeight="1" x14ac:dyDescent="0.25">
      <c r="B125" s="264" t="s">
        <v>663</v>
      </c>
      <c r="C125" s="264" t="s">
        <v>664</v>
      </c>
      <c r="D125" s="264" t="s">
        <v>432</v>
      </c>
      <c r="E125" s="264">
        <v>39</v>
      </c>
      <c r="F125" s="265">
        <v>3965.7711864406779</v>
      </c>
    </row>
    <row r="126" spans="2:6" ht="15" customHeight="1" x14ac:dyDescent="0.25">
      <c r="B126" s="264" t="s">
        <v>665</v>
      </c>
      <c r="C126" s="264" t="s">
        <v>666</v>
      </c>
      <c r="D126" s="264" t="s">
        <v>432</v>
      </c>
      <c r="E126" s="264">
        <v>110</v>
      </c>
      <c r="F126" s="265">
        <v>1677.9661016949153</v>
      </c>
    </row>
    <row r="127" spans="2:6" ht="15" customHeight="1" x14ac:dyDescent="0.25">
      <c r="B127" s="264" t="s">
        <v>667</v>
      </c>
      <c r="C127" s="264" t="s">
        <v>668</v>
      </c>
      <c r="D127" s="264" t="s">
        <v>432</v>
      </c>
      <c r="E127" s="264">
        <v>308</v>
      </c>
      <c r="F127" s="265">
        <v>11745.762711864407</v>
      </c>
    </row>
    <row r="128" spans="2:6" ht="15" customHeight="1" x14ac:dyDescent="0.25">
      <c r="B128" s="264" t="s">
        <v>669</v>
      </c>
      <c r="C128" s="264" t="s">
        <v>670</v>
      </c>
      <c r="D128" s="264" t="s">
        <v>432</v>
      </c>
      <c r="E128" s="264">
        <v>309</v>
      </c>
      <c r="F128" s="265">
        <v>20949.152542372882</v>
      </c>
    </row>
    <row r="129" spans="2:6" ht="15" customHeight="1" x14ac:dyDescent="0.25">
      <c r="B129" s="264" t="s">
        <v>671</v>
      </c>
      <c r="C129" s="264" t="s">
        <v>672</v>
      </c>
      <c r="D129" s="264" t="s">
        <v>432</v>
      </c>
      <c r="E129" s="264">
        <v>546</v>
      </c>
      <c r="F129" s="265">
        <v>48584.779661016953</v>
      </c>
    </row>
    <row r="130" spans="2:6" ht="15" customHeight="1" x14ac:dyDescent="0.25">
      <c r="B130" s="264" t="s">
        <v>673</v>
      </c>
      <c r="C130" s="264" t="s">
        <v>674</v>
      </c>
      <c r="D130" s="264" t="s">
        <v>432</v>
      </c>
      <c r="E130" s="264">
        <v>10</v>
      </c>
      <c r="F130" s="265">
        <v>33762.711864406781</v>
      </c>
    </row>
    <row r="131" spans="2:6" ht="15" customHeight="1" x14ac:dyDescent="0.25">
      <c r="B131" s="264" t="s">
        <v>675</v>
      </c>
      <c r="C131" s="264" t="s">
        <v>676</v>
      </c>
      <c r="D131" s="264" t="s">
        <v>432</v>
      </c>
      <c r="E131" s="264">
        <v>89</v>
      </c>
      <c r="F131" s="265">
        <v>467476.27118644072</v>
      </c>
    </row>
    <row r="132" spans="2:6" ht="15" customHeight="1" x14ac:dyDescent="0.25">
      <c r="B132" s="264" t="s">
        <v>677</v>
      </c>
      <c r="C132" s="264" t="s">
        <v>678</v>
      </c>
      <c r="D132" s="264" t="s">
        <v>432</v>
      </c>
      <c r="E132" s="264">
        <v>17</v>
      </c>
      <c r="F132" s="265">
        <v>2550</v>
      </c>
    </row>
    <row r="133" spans="2:6" ht="15" customHeight="1" x14ac:dyDescent="0.25">
      <c r="B133" s="264" t="s">
        <v>679</v>
      </c>
      <c r="C133" s="264" t="s">
        <v>680</v>
      </c>
      <c r="D133" s="264" t="s">
        <v>432</v>
      </c>
      <c r="E133" s="264">
        <v>21</v>
      </c>
      <c r="F133" s="265">
        <v>156.43220338983053</v>
      </c>
    </row>
    <row r="134" spans="2:6" ht="15" customHeight="1" x14ac:dyDescent="0.25">
      <c r="B134" s="264" t="s">
        <v>681</v>
      </c>
      <c r="C134" s="264" t="s">
        <v>682</v>
      </c>
      <c r="D134" s="264" t="s">
        <v>432</v>
      </c>
      <c r="E134" s="264">
        <v>9</v>
      </c>
      <c r="F134" s="265">
        <v>190.67796610169492</v>
      </c>
    </row>
    <row r="135" spans="2:6" ht="15" customHeight="1" x14ac:dyDescent="0.25">
      <c r="B135" s="264" t="s">
        <v>683</v>
      </c>
      <c r="C135" s="264" t="s">
        <v>684</v>
      </c>
      <c r="D135" s="264" t="s">
        <v>432</v>
      </c>
      <c r="E135" s="264">
        <v>64</v>
      </c>
      <c r="F135" s="265">
        <v>542.37288135593224</v>
      </c>
    </row>
    <row r="136" spans="2:6" ht="15" customHeight="1" x14ac:dyDescent="0.25">
      <c r="B136" s="264" t="s">
        <v>685</v>
      </c>
      <c r="C136" s="264" t="s">
        <v>686</v>
      </c>
      <c r="D136" s="264" t="s">
        <v>432</v>
      </c>
      <c r="E136" s="264">
        <v>218</v>
      </c>
      <c r="F136" s="265">
        <v>4578</v>
      </c>
    </row>
    <row r="137" spans="2:6" ht="15" customHeight="1" x14ac:dyDescent="0.25">
      <c r="B137" s="264" t="s">
        <v>687</v>
      </c>
      <c r="C137" s="264" t="s">
        <v>688</v>
      </c>
      <c r="D137" s="264" t="s">
        <v>432</v>
      </c>
      <c r="E137" s="264">
        <v>7</v>
      </c>
      <c r="F137" s="265">
        <v>163.19491525423729</v>
      </c>
    </row>
    <row r="138" spans="2:6" ht="15" customHeight="1" x14ac:dyDescent="0.25">
      <c r="B138" s="264" t="s">
        <v>689</v>
      </c>
      <c r="C138" s="264" t="s">
        <v>690</v>
      </c>
      <c r="D138" s="264" t="s">
        <v>432</v>
      </c>
      <c r="E138" s="264">
        <v>52</v>
      </c>
      <c r="F138" s="265">
        <v>11700</v>
      </c>
    </row>
    <row r="139" spans="2:6" ht="15" customHeight="1" x14ac:dyDescent="0.25">
      <c r="B139" s="264" t="s">
        <v>691</v>
      </c>
      <c r="C139" s="264" t="s">
        <v>692</v>
      </c>
      <c r="D139" s="264" t="s">
        <v>432</v>
      </c>
      <c r="E139" s="264">
        <v>18</v>
      </c>
      <c r="F139" s="265">
        <v>21471.864406779663</v>
      </c>
    </row>
    <row r="140" spans="2:6" ht="15" customHeight="1" x14ac:dyDescent="0.25">
      <c r="B140" s="264" t="s">
        <v>693</v>
      </c>
      <c r="C140" s="264" t="s">
        <v>694</v>
      </c>
      <c r="D140" s="264" t="s">
        <v>432</v>
      </c>
      <c r="E140" s="264">
        <v>40</v>
      </c>
      <c r="F140" s="265">
        <v>32720</v>
      </c>
    </row>
    <row r="141" spans="2:6" ht="15" customHeight="1" x14ac:dyDescent="0.25">
      <c r="B141" s="264" t="s">
        <v>695</v>
      </c>
      <c r="C141" s="264" t="s">
        <v>696</v>
      </c>
      <c r="D141" s="264" t="s">
        <v>432</v>
      </c>
      <c r="E141" s="264">
        <v>1000</v>
      </c>
      <c r="F141" s="265">
        <v>207600</v>
      </c>
    </row>
    <row r="142" spans="2:6" ht="15" customHeight="1" x14ac:dyDescent="0.25">
      <c r="B142" s="264" t="s">
        <v>697</v>
      </c>
      <c r="C142" s="264" t="s">
        <v>698</v>
      </c>
      <c r="D142" s="264" t="s">
        <v>432</v>
      </c>
      <c r="E142" s="264">
        <v>50</v>
      </c>
      <c r="F142" s="265">
        <v>3718</v>
      </c>
    </row>
    <row r="143" spans="2:6" ht="15" customHeight="1" x14ac:dyDescent="0.25">
      <c r="B143" s="264" t="s">
        <v>699</v>
      </c>
      <c r="C143" s="264" t="s">
        <v>700</v>
      </c>
      <c r="D143" s="264" t="s">
        <v>432</v>
      </c>
      <c r="E143" s="264">
        <v>66</v>
      </c>
      <c r="F143" s="265">
        <v>6930</v>
      </c>
    </row>
    <row r="144" spans="2:6" ht="15" customHeight="1" x14ac:dyDescent="0.25">
      <c r="B144" s="264" t="s">
        <v>701</v>
      </c>
      <c r="C144" s="264" t="s">
        <v>702</v>
      </c>
      <c r="D144" s="264" t="s">
        <v>432</v>
      </c>
      <c r="E144" s="264">
        <v>6</v>
      </c>
      <c r="F144" s="265">
        <v>3686.4406779661017</v>
      </c>
    </row>
    <row r="145" spans="2:6" ht="15" customHeight="1" x14ac:dyDescent="0.25">
      <c r="B145" s="264" t="s">
        <v>703</v>
      </c>
      <c r="C145" s="264" t="s">
        <v>704</v>
      </c>
      <c r="D145" s="264" t="s">
        <v>432</v>
      </c>
      <c r="E145" s="264">
        <v>10</v>
      </c>
      <c r="F145" s="265">
        <v>6355.9322033898306</v>
      </c>
    </row>
    <row r="146" spans="2:6" ht="15" customHeight="1" x14ac:dyDescent="0.25">
      <c r="B146" s="264" t="s">
        <v>705</v>
      </c>
      <c r="C146" s="264" t="s">
        <v>706</v>
      </c>
      <c r="D146" s="264" t="s">
        <v>432</v>
      </c>
      <c r="E146" s="264">
        <v>43</v>
      </c>
      <c r="F146" s="265">
        <v>3862.71186440678</v>
      </c>
    </row>
    <row r="147" spans="2:6" ht="15" customHeight="1" x14ac:dyDescent="0.25">
      <c r="B147" s="264" t="s">
        <v>707</v>
      </c>
      <c r="C147" s="264" t="s">
        <v>708</v>
      </c>
      <c r="D147" s="264" t="s">
        <v>432</v>
      </c>
      <c r="E147" s="264">
        <v>13</v>
      </c>
      <c r="F147" s="265">
        <v>771.18644067796617</v>
      </c>
    </row>
    <row r="148" spans="2:6" ht="15" customHeight="1" x14ac:dyDescent="0.25">
      <c r="B148" s="264" t="s">
        <v>709</v>
      </c>
      <c r="C148" s="264" t="s">
        <v>710</v>
      </c>
      <c r="D148" s="264" t="s">
        <v>432</v>
      </c>
      <c r="E148" s="264">
        <v>56</v>
      </c>
      <c r="F148" s="265">
        <v>35593.220338983054</v>
      </c>
    </row>
    <row r="149" spans="2:6" ht="15" customHeight="1" x14ac:dyDescent="0.25">
      <c r="B149" s="264" t="s">
        <v>711</v>
      </c>
      <c r="C149" s="264" t="s">
        <v>712</v>
      </c>
      <c r="D149" s="264" t="s">
        <v>432</v>
      </c>
      <c r="E149" s="264">
        <v>7</v>
      </c>
      <c r="F149" s="265">
        <v>3740.2457627118642</v>
      </c>
    </row>
    <row r="150" spans="2:6" ht="15" customHeight="1" x14ac:dyDescent="0.25">
      <c r="B150" s="264" t="s">
        <v>713</v>
      </c>
      <c r="C150" s="264" t="s">
        <v>714</v>
      </c>
      <c r="D150" s="264" t="s">
        <v>432</v>
      </c>
      <c r="E150" s="264">
        <v>12</v>
      </c>
      <c r="F150" s="265">
        <v>6894.610169491526</v>
      </c>
    </row>
    <row r="151" spans="2:6" ht="15" customHeight="1" x14ac:dyDescent="0.25">
      <c r="B151" s="264" t="s">
        <v>715</v>
      </c>
      <c r="C151" s="264" t="s">
        <v>716</v>
      </c>
      <c r="D151" s="264" t="s">
        <v>432</v>
      </c>
      <c r="E151" s="264">
        <v>4</v>
      </c>
      <c r="F151" s="265">
        <v>152.54237288135593</v>
      </c>
    </row>
    <row r="152" spans="2:6" ht="15" customHeight="1" x14ac:dyDescent="0.25">
      <c r="B152" s="264" t="s">
        <v>717</v>
      </c>
      <c r="C152" s="264" t="s">
        <v>718</v>
      </c>
      <c r="D152" s="264" t="s">
        <v>432</v>
      </c>
      <c r="E152" s="264">
        <v>40</v>
      </c>
      <c r="F152" s="265">
        <v>1200</v>
      </c>
    </row>
    <row r="153" spans="2:6" ht="15" customHeight="1" x14ac:dyDescent="0.25">
      <c r="B153" s="264" t="s">
        <v>719</v>
      </c>
      <c r="C153" s="264" t="s">
        <v>720</v>
      </c>
      <c r="D153" s="264" t="s">
        <v>432</v>
      </c>
      <c r="E153" s="264">
        <v>937</v>
      </c>
      <c r="F153" s="265">
        <v>31762.711864406781</v>
      </c>
    </row>
    <row r="154" spans="2:6" ht="15" customHeight="1" x14ac:dyDescent="0.25">
      <c r="B154" s="264" t="s">
        <v>721</v>
      </c>
      <c r="C154" s="264" t="s">
        <v>722</v>
      </c>
      <c r="D154" s="264" t="s">
        <v>432</v>
      </c>
      <c r="E154" s="264">
        <v>45</v>
      </c>
      <c r="F154" s="265">
        <v>3050.8474576271187</v>
      </c>
    </row>
    <row r="155" spans="2:6" ht="15" customHeight="1" x14ac:dyDescent="0.25">
      <c r="B155" s="264" t="s">
        <v>723</v>
      </c>
      <c r="C155" s="264" t="s">
        <v>724</v>
      </c>
      <c r="D155" s="264" t="s">
        <v>432</v>
      </c>
      <c r="E155" s="264">
        <v>17</v>
      </c>
      <c r="F155" s="265">
        <v>8139.8305084745771</v>
      </c>
    </row>
    <row r="156" spans="2:6" ht="15" customHeight="1" x14ac:dyDescent="0.25">
      <c r="B156" s="264" t="s">
        <v>725</v>
      </c>
      <c r="C156" s="264" t="s">
        <v>726</v>
      </c>
      <c r="D156" s="264" t="s">
        <v>432</v>
      </c>
      <c r="E156" s="264">
        <v>75</v>
      </c>
      <c r="F156" s="265">
        <v>25531.483050847459</v>
      </c>
    </row>
    <row r="157" spans="2:6" ht="15" customHeight="1" x14ac:dyDescent="0.25">
      <c r="B157" s="264" t="s">
        <v>727</v>
      </c>
      <c r="C157" s="264" t="s">
        <v>728</v>
      </c>
      <c r="D157" s="264" t="s">
        <v>432</v>
      </c>
      <c r="E157" s="264">
        <v>107</v>
      </c>
      <c r="F157" s="265">
        <v>38538.135593220344</v>
      </c>
    </row>
    <row r="158" spans="2:6" ht="15" customHeight="1" x14ac:dyDescent="0.25">
      <c r="B158" s="264" t="s">
        <v>729</v>
      </c>
      <c r="C158" s="264" t="s">
        <v>730</v>
      </c>
      <c r="D158" s="264" t="s">
        <v>432</v>
      </c>
      <c r="E158" s="264">
        <v>51</v>
      </c>
      <c r="F158" s="265">
        <v>32415.254237288136</v>
      </c>
    </row>
    <row r="159" spans="2:6" ht="15" customHeight="1" x14ac:dyDescent="0.25">
      <c r="B159" s="264" t="s">
        <v>731</v>
      </c>
      <c r="C159" s="264" t="s">
        <v>732</v>
      </c>
      <c r="D159" s="264" t="s">
        <v>432</v>
      </c>
      <c r="E159" s="264">
        <v>1</v>
      </c>
      <c r="F159" s="265">
        <v>73750</v>
      </c>
    </row>
    <row r="160" spans="2:6" ht="15" customHeight="1" x14ac:dyDescent="0.25">
      <c r="B160" s="264" t="s">
        <v>733</v>
      </c>
      <c r="C160" s="264" t="s">
        <v>734</v>
      </c>
      <c r="D160" s="264" t="s">
        <v>432</v>
      </c>
      <c r="E160" s="264">
        <v>77</v>
      </c>
      <c r="F160" s="265">
        <v>7830.5084745762715</v>
      </c>
    </row>
    <row r="161" spans="2:6" ht="15" customHeight="1" x14ac:dyDescent="0.25">
      <c r="B161" s="264" t="s">
        <v>735</v>
      </c>
      <c r="C161" s="264" t="s">
        <v>736</v>
      </c>
      <c r="D161" s="264" t="s">
        <v>432</v>
      </c>
      <c r="E161" s="264">
        <v>43</v>
      </c>
      <c r="F161" s="265">
        <v>27414.652542372882</v>
      </c>
    </row>
    <row r="162" spans="2:6" ht="15" customHeight="1" x14ac:dyDescent="0.25">
      <c r="B162" s="264" t="s">
        <v>737</v>
      </c>
      <c r="C162" s="264" t="s">
        <v>738</v>
      </c>
      <c r="D162" s="264" t="s">
        <v>432</v>
      </c>
      <c r="E162" s="264">
        <v>400</v>
      </c>
      <c r="F162" s="265">
        <v>8474.5762711864409</v>
      </c>
    </row>
    <row r="163" spans="2:6" ht="15" customHeight="1" x14ac:dyDescent="0.25">
      <c r="B163" s="264" t="s">
        <v>739</v>
      </c>
      <c r="C163" s="264" t="s">
        <v>740</v>
      </c>
      <c r="D163" s="264" t="s">
        <v>432</v>
      </c>
      <c r="E163" s="264">
        <v>16</v>
      </c>
      <c r="F163" s="265">
        <v>8515.2542372881362</v>
      </c>
    </row>
    <row r="164" spans="2:6" ht="15" customHeight="1" x14ac:dyDescent="0.25">
      <c r="B164" s="264" t="s">
        <v>741</v>
      </c>
      <c r="C164" s="264" t="s">
        <v>742</v>
      </c>
      <c r="D164" s="264" t="s">
        <v>432</v>
      </c>
      <c r="E164" s="264">
        <v>9</v>
      </c>
      <c r="F164" s="265">
        <v>1745.0847457627117</v>
      </c>
    </row>
    <row r="165" spans="2:6" ht="15" customHeight="1" x14ac:dyDescent="0.25">
      <c r="B165" s="264" t="s">
        <v>743</v>
      </c>
      <c r="C165" s="264" t="s">
        <v>744</v>
      </c>
      <c r="D165" s="264" t="s">
        <v>432</v>
      </c>
      <c r="E165" s="264">
        <v>11</v>
      </c>
      <c r="F165" s="265">
        <v>3630</v>
      </c>
    </row>
    <row r="166" spans="2:6" ht="15" customHeight="1" x14ac:dyDescent="0.25">
      <c r="B166" s="264" t="s">
        <v>745</v>
      </c>
      <c r="C166" s="264" t="s">
        <v>746</v>
      </c>
      <c r="D166" s="264" t="s">
        <v>432</v>
      </c>
      <c r="E166" s="264">
        <v>9</v>
      </c>
      <c r="F166" s="265">
        <v>2862</v>
      </c>
    </row>
    <row r="167" spans="2:6" ht="15" customHeight="1" x14ac:dyDescent="0.25">
      <c r="B167" s="264" t="s">
        <v>747</v>
      </c>
      <c r="C167" s="264" t="s">
        <v>748</v>
      </c>
      <c r="D167" s="264" t="s">
        <v>432</v>
      </c>
      <c r="E167" s="264">
        <v>2</v>
      </c>
      <c r="F167" s="265">
        <v>14000</v>
      </c>
    </row>
    <row r="168" spans="2:6" ht="15" customHeight="1" x14ac:dyDescent="0.25">
      <c r="B168" s="264" t="s">
        <v>749</v>
      </c>
      <c r="C168" s="264" t="s">
        <v>750</v>
      </c>
      <c r="D168" s="264" t="s">
        <v>432</v>
      </c>
      <c r="E168" s="264">
        <v>90</v>
      </c>
      <c r="F168" s="265">
        <v>13572</v>
      </c>
    </row>
    <row r="169" spans="2:6" ht="15" customHeight="1" x14ac:dyDescent="0.25">
      <c r="B169" s="264" t="s">
        <v>751</v>
      </c>
      <c r="C169" s="264" t="s">
        <v>752</v>
      </c>
      <c r="D169" s="264" t="s">
        <v>432</v>
      </c>
      <c r="E169" s="264">
        <v>28</v>
      </c>
      <c r="F169" s="265">
        <v>11864.406779661018</v>
      </c>
    </row>
    <row r="170" spans="2:6" ht="15" customHeight="1" x14ac:dyDescent="0.25">
      <c r="B170" s="264" t="s">
        <v>753</v>
      </c>
      <c r="C170" s="264" t="s">
        <v>754</v>
      </c>
      <c r="D170" s="264" t="s">
        <v>432</v>
      </c>
      <c r="E170" s="264">
        <v>35</v>
      </c>
      <c r="F170" s="265">
        <v>3707.6271186440681</v>
      </c>
    </row>
    <row r="171" spans="2:6" ht="15" customHeight="1" x14ac:dyDescent="0.25">
      <c r="B171" s="264" t="s">
        <v>755</v>
      </c>
      <c r="C171" s="264" t="s">
        <v>756</v>
      </c>
      <c r="D171" s="264" t="s">
        <v>432</v>
      </c>
      <c r="E171" s="264">
        <v>5</v>
      </c>
      <c r="F171" s="265">
        <v>17372.881355932204</v>
      </c>
    </row>
    <row r="172" spans="2:6" ht="15" customHeight="1" x14ac:dyDescent="0.25">
      <c r="B172" s="264" t="s">
        <v>757</v>
      </c>
      <c r="C172" s="264" t="s">
        <v>758</v>
      </c>
      <c r="D172" s="264" t="s">
        <v>432</v>
      </c>
      <c r="E172" s="264">
        <v>10</v>
      </c>
      <c r="F172" s="265">
        <v>1525.4237288135594</v>
      </c>
    </row>
    <row r="173" spans="2:6" ht="15" customHeight="1" x14ac:dyDescent="0.25">
      <c r="B173" s="264" t="s">
        <v>759</v>
      </c>
      <c r="C173" s="264" t="s">
        <v>760</v>
      </c>
      <c r="D173" s="264" t="s">
        <v>432</v>
      </c>
      <c r="E173" s="264">
        <v>2291</v>
      </c>
      <c r="F173" s="265">
        <v>1844449.1525423729</v>
      </c>
    </row>
    <row r="174" spans="2:6" ht="15" customHeight="1" x14ac:dyDescent="0.25">
      <c r="B174" s="264" t="s">
        <v>761</v>
      </c>
      <c r="C174" s="264" t="s">
        <v>762</v>
      </c>
      <c r="D174" s="264" t="s">
        <v>432</v>
      </c>
      <c r="E174" s="264">
        <v>4</v>
      </c>
      <c r="F174" s="265">
        <v>12008.000000000002</v>
      </c>
    </row>
    <row r="175" spans="2:6" ht="15" customHeight="1" x14ac:dyDescent="0.25">
      <c r="B175" s="264" t="s">
        <v>763</v>
      </c>
      <c r="C175" s="264" t="s">
        <v>764</v>
      </c>
      <c r="D175" s="264" t="s">
        <v>432</v>
      </c>
      <c r="E175" s="264">
        <v>86</v>
      </c>
      <c r="F175" s="265">
        <v>23650</v>
      </c>
    </row>
    <row r="176" spans="2:6" ht="15" customHeight="1" x14ac:dyDescent="0.25">
      <c r="B176" s="264" t="s">
        <v>765</v>
      </c>
      <c r="C176" s="264" t="s">
        <v>766</v>
      </c>
      <c r="D176" s="264" t="s">
        <v>432</v>
      </c>
      <c r="E176" s="264">
        <v>58</v>
      </c>
      <c r="F176" s="265">
        <v>857.81355932203394</v>
      </c>
    </row>
    <row r="177" spans="2:6" ht="15" customHeight="1" x14ac:dyDescent="0.25">
      <c r="B177" s="264" t="s">
        <v>767</v>
      </c>
      <c r="C177" s="264" t="s">
        <v>768</v>
      </c>
      <c r="D177" s="264" t="s">
        <v>432</v>
      </c>
      <c r="E177" s="264">
        <v>22</v>
      </c>
      <c r="F177" s="265">
        <v>4950</v>
      </c>
    </row>
    <row r="178" spans="2:6" ht="15" customHeight="1" x14ac:dyDescent="0.25">
      <c r="B178" s="264" t="s">
        <v>769</v>
      </c>
      <c r="C178" s="264" t="s">
        <v>770</v>
      </c>
      <c r="D178" s="264" t="s">
        <v>432</v>
      </c>
      <c r="E178" s="264">
        <v>22</v>
      </c>
      <c r="F178" s="265">
        <v>2508</v>
      </c>
    </row>
    <row r="179" spans="2:6" ht="15" customHeight="1" x14ac:dyDescent="0.25">
      <c r="B179" s="264" t="s">
        <v>771</v>
      </c>
      <c r="C179" s="264" t="s">
        <v>772</v>
      </c>
      <c r="D179" s="264" t="s">
        <v>432</v>
      </c>
      <c r="E179" s="264">
        <v>34</v>
      </c>
      <c r="F179" s="265">
        <v>3462.8135593220341</v>
      </c>
    </row>
    <row r="180" spans="2:6" ht="15" customHeight="1" x14ac:dyDescent="0.25">
      <c r="B180" s="264" t="s">
        <v>773</v>
      </c>
      <c r="C180" s="264" t="s">
        <v>774</v>
      </c>
      <c r="D180" s="264" t="s">
        <v>432</v>
      </c>
      <c r="E180" s="264">
        <v>3</v>
      </c>
      <c r="F180" s="265">
        <v>1525.4237288135594</v>
      </c>
    </row>
    <row r="181" spans="2:6" ht="15" customHeight="1" x14ac:dyDescent="0.25">
      <c r="B181" s="264" t="s">
        <v>775</v>
      </c>
      <c r="C181" s="264" t="s">
        <v>776</v>
      </c>
      <c r="D181" s="264" t="s">
        <v>432</v>
      </c>
      <c r="E181" s="264">
        <v>1</v>
      </c>
      <c r="F181" s="265">
        <v>1114</v>
      </c>
    </row>
    <row r="182" spans="2:6" ht="15" customHeight="1" x14ac:dyDescent="0.25">
      <c r="B182" s="264" t="s">
        <v>777</v>
      </c>
      <c r="C182" s="264" t="s">
        <v>778</v>
      </c>
      <c r="D182" s="264" t="s">
        <v>432</v>
      </c>
      <c r="E182" s="264">
        <v>28</v>
      </c>
      <c r="F182" s="265">
        <v>14237.28813559322</v>
      </c>
    </row>
    <row r="183" spans="2:6" ht="15" customHeight="1" x14ac:dyDescent="0.25">
      <c r="B183" s="264" t="s">
        <v>779</v>
      </c>
      <c r="C183" s="264" t="s">
        <v>780</v>
      </c>
      <c r="D183" s="264" t="s">
        <v>432</v>
      </c>
      <c r="E183" s="264">
        <v>2</v>
      </c>
      <c r="F183" s="265">
        <v>2542.3728813559323</v>
      </c>
    </row>
    <row r="184" spans="2:6" ht="15" customHeight="1" x14ac:dyDescent="0.25">
      <c r="B184" s="264" t="s">
        <v>781</v>
      </c>
      <c r="C184" s="264" t="s">
        <v>782</v>
      </c>
      <c r="D184" s="264" t="s">
        <v>432</v>
      </c>
      <c r="E184" s="264">
        <v>39</v>
      </c>
      <c r="F184" s="265">
        <v>4586.4661016949149</v>
      </c>
    </row>
    <row r="185" spans="2:6" ht="15" customHeight="1" x14ac:dyDescent="0.25">
      <c r="B185" s="264" t="s">
        <v>783</v>
      </c>
      <c r="C185" s="264" t="s">
        <v>784</v>
      </c>
      <c r="D185" s="264" t="s">
        <v>432</v>
      </c>
      <c r="E185" s="264">
        <v>6</v>
      </c>
      <c r="F185" s="265">
        <v>1083.0508474576272</v>
      </c>
    </row>
    <row r="186" spans="2:6" ht="15" customHeight="1" x14ac:dyDescent="0.25">
      <c r="B186" s="264" t="s">
        <v>785</v>
      </c>
      <c r="C186" s="264" t="s">
        <v>786</v>
      </c>
      <c r="D186" s="264" t="s">
        <v>432</v>
      </c>
      <c r="E186" s="264">
        <v>14</v>
      </c>
      <c r="F186" s="265">
        <v>943.88135593220341</v>
      </c>
    </row>
    <row r="187" spans="2:6" ht="15" customHeight="1" x14ac:dyDescent="0.25">
      <c r="B187" s="264" t="s">
        <v>787</v>
      </c>
      <c r="C187" s="264" t="s">
        <v>788</v>
      </c>
      <c r="D187" s="264" t="s">
        <v>432</v>
      </c>
      <c r="E187" s="264">
        <v>7</v>
      </c>
      <c r="F187" s="265">
        <v>177.96610169491527</v>
      </c>
    </row>
    <row r="188" spans="2:6" ht="15" customHeight="1" x14ac:dyDescent="0.25">
      <c r="B188" s="264" t="s">
        <v>789</v>
      </c>
      <c r="C188" s="264" t="s">
        <v>790</v>
      </c>
      <c r="D188" s="264" t="s">
        <v>432</v>
      </c>
      <c r="E188" s="264">
        <v>9</v>
      </c>
      <c r="F188" s="265">
        <v>842.33898305084756</v>
      </c>
    </row>
    <row r="189" spans="2:6" ht="15" customHeight="1" x14ac:dyDescent="0.25">
      <c r="B189" s="264" t="s">
        <v>791</v>
      </c>
      <c r="C189" s="264" t="s">
        <v>792</v>
      </c>
      <c r="D189" s="264" t="s">
        <v>432</v>
      </c>
      <c r="E189" s="264">
        <v>1</v>
      </c>
      <c r="F189" s="265">
        <v>542.37288135593224</v>
      </c>
    </row>
    <row r="190" spans="2:6" ht="15" customHeight="1" x14ac:dyDescent="0.25">
      <c r="B190" s="264" t="s">
        <v>793</v>
      </c>
      <c r="C190" s="264" t="s">
        <v>794</v>
      </c>
      <c r="D190" s="264" t="s">
        <v>432</v>
      </c>
      <c r="E190" s="264">
        <v>72</v>
      </c>
      <c r="F190" s="265">
        <v>6839.5</v>
      </c>
    </row>
    <row r="191" spans="2:6" ht="15" customHeight="1" x14ac:dyDescent="0.25">
      <c r="B191" s="264" t="s">
        <v>795</v>
      </c>
      <c r="C191" s="264" t="s">
        <v>796</v>
      </c>
      <c r="D191" s="264" t="s">
        <v>432</v>
      </c>
      <c r="E191" s="264">
        <v>4</v>
      </c>
      <c r="F191" s="265">
        <v>383.16101694915255</v>
      </c>
    </row>
    <row r="192" spans="2:6" ht="15" customHeight="1" x14ac:dyDescent="0.25">
      <c r="B192" s="264" t="s">
        <v>797</v>
      </c>
      <c r="C192" s="264" t="s">
        <v>798</v>
      </c>
      <c r="D192" s="264" t="s">
        <v>432</v>
      </c>
      <c r="E192" s="264">
        <v>15</v>
      </c>
      <c r="F192" s="265">
        <v>915.00000000000011</v>
      </c>
    </row>
    <row r="193" spans="2:6" ht="15" customHeight="1" x14ac:dyDescent="0.25">
      <c r="B193" s="264" t="s">
        <v>799</v>
      </c>
      <c r="C193" s="264" t="s">
        <v>800</v>
      </c>
      <c r="D193" s="264" t="s">
        <v>432</v>
      </c>
      <c r="E193" s="264">
        <v>3</v>
      </c>
      <c r="F193" s="265">
        <v>5084.7457627118647</v>
      </c>
    </row>
    <row r="194" spans="2:6" ht="15" customHeight="1" x14ac:dyDescent="0.25">
      <c r="B194" s="264" t="s">
        <v>801</v>
      </c>
      <c r="C194" s="264" t="s">
        <v>802</v>
      </c>
      <c r="D194" s="264" t="s">
        <v>432</v>
      </c>
      <c r="E194" s="264">
        <v>6</v>
      </c>
      <c r="F194" s="265">
        <v>1719.3050847457628</v>
      </c>
    </row>
    <row r="195" spans="2:6" ht="15" customHeight="1" x14ac:dyDescent="0.25">
      <c r="B195" s="264" t="s">
        <v>803</v>
      </c>
      <c r="C195" s="264" t="s">
        <v>804</v>
      </c>
      <c r="D195" s="264" t="s">
        <v>432</v>
      </c>
      <c r="E195" s="264">
        <v>40</v>
      </c>
      <c r="F195" s="265">
        <v>4800</v>
      </c>
    </row>
    <row r="196" spans="2:6" ht="15" customHeight="1" x14ac:dyDescent="0.25">
      <c r="B196" s="264" t="s">
        <v>805</v>
      </c>
      <c r="C196" s="264" t="s">
        <v>806</v>
      </c>
      <c r="D196" s="264" t="s">
        <v>432</v>
      </c>
      <c r="E196" s="264">
        <v>7</v>
      </c>
      <c r="F196" s="265">
        <v>4597.4576271186443</v>
      </c>
    </row>
    <row r="197" spans="2:6" ht="15" customHeight="1" x14ac:dyDescent="0.25">
      <c r="B197" s="264" t="s">
        <v>807</v>
      </c>
      <c r="C197" s="264" t="s">
        <v>808</v>
      </c>
      <c r="D197" s="264" t="s">
        <v>432</v>
      </c>
      <c r="E197" s="264">
        <v>56</v>
      </c>
      <c r="F197" s="265">
        <v>9800</v>
      </c>
    </row>
    <row r="198" spans="2:6" ht="15" customHeight="1" x14ac:dyDescent="0.25">
      <c r="B198" s="264" t="s">
        <v>809</v>
      </c>
      <c r="C198" s="264" t="s">
        <v>810</v>
      </c>
      <c r="D198" s="264" t="s">
        <v>432</v>
      </c>
      <c r="E198" s="264">
        <v>9</v>
      </c>
      <c r="F198" s="265">
        <v>9000</v>
      </c>
    </row>
    <row r="199" spans="2:6" ht="15" customHeight="1" x14ac:dyDescent="0.25">
      <c r="B199" s="264" t="s">
        <v>811</v>
      </c>
      <c r="C199" s="264" t="s">
        <v>812</v>
      </c>
      <c r="D199" s="264" t="s">
        <v>432</v>
      </c>
      <c r="E199" s="264">
        <v>60</v>
      </c>
      <c r="F199" s="265">
        <v>2700</v>
      </c>
    </row>
    <row r="200" spans="2:6" ht="15" customHeight="1" x14ac:dyDescent="0.25">
      <c r="B200" s="264" t="s">
        <v>813</v>
      </c>
      <c r="C200" s="264" t="s">
        <v>814</v>
      </c>
      <c r="D200" s="264" t="s">
        <v>432</v>
      </c>
      <c r="E200" s="264">
        <v>94</v>
      </c>
      <c r="F200" s="265">
        <v>7966.1016949152545</v>
      </c>
    </row>
    <row r="201" spans="2:6" ht="15" customHeight="1" x14ac:dyDescent="0.25">
      <c r="B201" s="264" t="s">
        <v>815</v>
      </c>
      <c r="C201" s="264" t="s">
        <v>816</v>
      </c>
      <c r="D201" s="264" t="s">
        <v>432</v>
      </c>
      <c r="E201" s="264">
        <v>12</v>
      </c>
      <c r="F201" s="265">
        <v>660</v>
      </c>
    </row>
    <row r="202" spans="2:6" ht="15" customHeight="1" x14ac:dyDescent="0.25">
      <c r="B202" s="264" t="s">
        <v>817</v>
      </c>
      <c r="C202" s="264" t="s">
        <v>818</v>
      </c>
      <c r="D202" s="264" t="s">
        <v>432</v>
      </c>
      <c r="E202" s="264">
        <v>1</v>
      </c>
      <c r="F202" s="265">
        <v>593.22033898305085</v>
      </c>
    </row>
    <row r="203" spans="2:6" ht="15" customHeight="1" x14ac:dyDescent="0.25">
      <c r="B203" s="264" t="s">
        <v>819</v>
      </c>
      <c r="C203" s="264" t="s">
        <v>820</v>
      </c>
      <c r="D203" s="264" t="s">
        <v>432</v>
      </c>
      <c r="E203" s="264">
        <v>6</v>
      </c>
      <c r="F203" s="265">
        <v>180.00000000000003</v>
      </c>
    </row>
    <row r="204" spans="2:6" ht="15" customHeight="1" x14ac:dyDescent="0.25">
      <c r="B204" s="264" t="s">
        <v>821</v>
      </c>
      <c r="C204" s="264" t="s">
        <v>822</v>
      </c>
      <c r="D204" s="264" t="s">
        <v>432</v>
      </c>
      <c r="E204" s="264">
        <v>5</v>
      </c>
      <c r="F204" s="265">
        <v>250</v>
      </c>
    </row>
    <row r="205" spans="2:6" ht="15" customHeight="1" x14ac:dyDescent="0.25">
      <c r="B205" s="264" t="s">
        <v>823</v>
      </c>
      <c r="C205" s="264" t="s">
        <v>824</v>
      </c>
      <c r="D205" s="264" t="s">
        <v>432</v>
      </c>
      <c r="E205" s="264">
        <v>9</v>
      </c>
      <c r="F205" s="265">
        <v>4455</v>
      </c>
    </row>
    <row r="206" spans="2:6" ht="15" customHeight="1" x14ac:dyDescent="0.25">
      <c r="B206" s="264" t="s">
        <v>825</v>
      </c>
      <c r="C206" s="264" t="s">
        <v>826</v>
      </c>
      <c r="D206" s="264" t="s">
        <v>432</v>
      </c>
      <c r="E206" s="264">
        <v>2500</v>
      </c>
      <c r="F206" s="265">
        <v>490625</v>
      </c>
    </row>
    <row r="207" spans="2:6" ht="15" customHeight="1" x14ac:dyDescent="0.25">
      <c r="B207" s="264" t="s">
        <v>827</v>
      </c>
      <c r="C207" s="264" t="s">
        <v>828</v>
      </c>
      <c r="D207" s="264" t="s">
        <v>432</v>
      </c>
      <c r="E207" s="264">
        <v>6</v>
      </c>
      <c r="F207" s="265">
        <v>2795.898305084746</v>
      </c>
    </row>
    <row r="208" spans="2:6" ht="15" customHeight="1" x14ac:dyDescent="0.25">
      <c r="B208" s="264" t="s">
        <v>829</v>
      </c>
      <c r="C208" s="264" t="s">
        <v>830</v>
      </c>
      <c r="D208" s="264" t="s">
        <v>432</v>
      </c>
      <c r="E208" s="264">
        <v>10</v>
      </c>
      <c r="F208" s="265">
        <v>4864.406779661017</v>
      </c>
    </row>
    <row r="209" spans="2:6" ht="15" customHeight="1" x14ac:dyDescent="0.25">
      <c r="B209" s="264" t="s">
        <v>831</v>
      </c>
      <c r="C209" s="264" t="s">
        <v>832</v>
      </c>
      <c r="D209" s="264" t="s">
        <v>432</v>
      </c>
      <c r="E209" s="264">
        <v>1</v>
      </c>
      <c r="F209" s="265">
        <v>11016.949152542373</v>
      </c>
    </row>
    <row r="210" spans="2:6" ht="15" customHeight="1" x14ac:dyDescent="0.25">
      <c r="B210" s="264" t="s">
        <v>833</v>
      </c>
      <c r="C210" s="264" t="s">
        <v>834</v>
      </c>
      <c r="D210" s="264" t="s">
        <v>432</v>
      </c>
      <c r="E210" s="264">
        <v>2</v>
      </c>
      <c r="F210" s="265">
        <v>718.18644067796617</v>
      </c>
    </row>
    <row r="211" spans="2:6" ht="15" customHeight="1" x14ac:dyDescent="0.25">
      <c r="B211" s="264" t="s">
        <v>835</v>
      </c>
      <c r="C211" s="264" t="s">
        <v>836</v>
      </c>
      <c r="D211" s="264" t="s">
        <v>432</v>
      </c>
      <c r="E211" s="264">
        <v>6</v>
      </c>
      <c r="F211" s="265">
        <v>2117.7457627118647</v>
      </c>
    </row>
    <row r="212" spans="2:6" ht="15" customHeight="1" x14ac:dyDescent="0.25">
      <c r="B212" s="264" t="s">
        <v>837</v>
      </c>
      <c r="C212" s="264" t="s">
        <v>838</v>
      </c>
      <c r="D212" s="264" t="s">
        <v>432</v>
      </c>
      <c r="E212" s="264">
        <v>-1</v>
      </c>
      <c r="F212" s="265">
        <v>-720.33898305084745</v>
      </c>
    </row>
    <row r="213" spans="2:6" ht="15" customHeight="1" x14ac:dyDescent="0.25">
      <c r="B213" s="264" t="s">
        <v>839</v>
      </c>
      <c r="C213" s="264" t="s">
        <v>840</v>
      </c>
      <c r="D213" s="264" t="s">
        <v>432</v>
      </c>
      <c r="E213" s="264">
        <v>10</v>
      </c>
      <c r="F213" s="265">
        <v>3983.0508474576272</v>
      </c>
    </row>
    <row r="214" spans="2:6" ht="15" customHeight="1" x14ac:dyDescent="0.25">
      <c r="B214" s="264" t="s">
        <v>841</v>
      </c>
      <c r="C214" s="264" t="s">
        <v>842</v>
      </c>
      <c r="D214" s="264" t="s">
        <v>432</v>
      </c>
      <c r="E214" s="264">
        <v>34</v>
      </c>
      <c r="F214" s="265">
        <v>11496.610169491527</v>
      </c>
    </row>
    <row r="215" spans="2:6" ht="15" customHeight="1" x14ac:dyDescent="0.25">
      <c r="B215" s="264" t="s">
        <v>843</v>
      </c>
      <c r="C215" s="264" t="s">
        <v>844</v>
      </c>
      <c r="D215" s="264" t="s">
        <v>432</v>
      </c>
      <c r="E215" s="264">
        <v>22</v>
      </c>
      <c r="F215" s="265">
        <v>22372.881355932204</v>
      </c>
    </row>
    <row r="216" spans="2:6" ht="15" customHeight="1" x14ac:dyDescent="0.25">
      <c r="B216" s="264" t="s">
        <v>845</v>
      </c>
      <c r="C216" s="264" t="s">
        <v>846</v>
      </c>
      <c r="D216" s="264" t="s">
        <v>432</v>
      </c>
      <c r="E216" s="264">
        <v>3</v>
      </c>
      <c r="F216" s="265">
        <v>13500</v>
      </c>
    </row>
    <row r="217" spans="2:6" ht="15" customHeight="1" x14ac:dyDescent="0.25">
      <c r="B217" s="264" t="s">
        <v>847</v>
      </c>
      <c r="C217" s="264" t="s">
        <v>848</v>
      </c>
      <c r="D217" s="264" t="s">
        <v>432</v>
      </c>
      <c r="E217" s="264">
        <v>4</v>
      </c>
      <c r="F217" s="265">
        <v>7627.1186440677966</v>
      </c>
    </row>
    <row r="218" spans="2:6" ht="15" customHeight="1" x14ac:dyDescent="0.25">
      <c r="B218" s="264" t="s">
        <v>849</v>
      </c>
      <c r="C218" s="264" t="s">
        <v>850</v>
      </c>
      <c r="D218" s="264" t="s">
        <v>432</v>
      </c>
      <c r="E218" s="264">
        <v>4</v>
      </c>
      <c r="F218" s="265">
        <v>3734.5423728813562</v>
      </c>
    </row>
    <row r="219" spans="2:6" ht="15" customHeight="1" x14ac:dyDescent="0.25">
      <c r="B219" s="264" t="s">
        <v>851</v>
      </c>
      <c r="C219" s="264" t="s">
        <v>852</v>
      </c>
      <c r="D219" s="264" t="s">
        <v>432</v>
      </c>
      <c r="E219" s="264">
        <v>10</v>
      </c>
      <c r="F219" s="265">
        <v>3752.7966101694919</v>
      </c>
    </row>
    <row r="220" spans="2:6" ht="15" customHeight="1" x14ac:dyDescent="0.25">
      <c r="B220" s="264" t="s">
        <v>853</v>
      </c>
      <c r="C220" s="264" t="s">
        <v>854</v>
      </c>
      <c r="D220" s="264" t="s">
        <v>432</v>
      </c>
      <c r="E220" s="264">
        <v>3</v>
      </c>
      <c r="F220" s="265">
        <v>14700</v>
      </c>
    </row>
    <row r="221" spans="2:6" ht="15" customHeight="1" x14ac:dyDescent="0.25">
      <c r="B221" s="264" t="s">
        <v>855</v>
      </c>
      <c r="C221" s="264" t="s">
        <v>856</v>
      </c>
      <c r="D221" s="264" t="s">
        <v>432</v>
      </c>
      <c r="E221" s="264">
        <v>14</v>
      </c>
      <c r="F221" s="265">
        <v>1067.7966101694915</v>
      </c>
    </row>
    <row r="222" spans="2:6" ht="15" customHeight="1" x14ac:dyDescent="0.25">
      <c r="B222" s="264" t="s">
        <v>857</v>
      </c>
      <c r="C222" s="264" t="s">
        <v>858</v>
      </c>
      <c r="D222" s="264" t="s">
        <v>432</v>
      </c>
      <c r="E222" s="264">
        <v>9</v>
      </c>
      <c r="F222" s="265">
        <v>1983.0508474576272</v>
      </c>
    </row>
    <row r="223" spans="2:6" ht="15" customHeight="1" x14ac:dyDescent="0.25">
      <c r="B223" s="264" t="s">
        <v>859</v>
      </c>
      <c r="C223" s="264" t="s">
        <v>860</v>
      </c>
      <c r="D223" s="264" t="s">
        <v>432</v>
      </c>
      <c r="E223" s="264">
        <v>29</v>
      </c>
      <c r="F223" s="265">
        <v>6758.4745762711864</v>
      </c>
    </row>
    <row r="224" spans="2:6" ht="15" customHeight="1" x14ac:dyDescent="0.25">
      <c r="B224" s="264" t="s">
        <v>861</v>
      </c>
      <c r="C224" s="264" t="s">
        <v>862</v>
      </c>
      <c r="D224" s="264" t="s">
        <v>432</v>
      </c>
      <c r="E224" s="264">
        <v>13</v>
      </c>
      <c r="F224" s="265">
        <v>2730</v>
      </c>
    </row>
    <row r="225" spans="2:6" ht="15" customHeight="1" x14ac:dyDescent="0.25">
      <c r="B225" s="264" t="s">
        <v>863</v>
      </c>
      <c r="C225" s="264" t="s">
        <v>864</v>
      </c>
      <c r="D225" s="264" t="s">
        <v>432</v>
      </c>
      <c r="E225" s="264">
        <v>300</v>
      </c>
      <c r="F225" s="265">
        <v>59745.762711864409</v>
      </c>
    </row>
    <row r="226" spans="2:6" ht="15" customHeight="1" x14ac:dyDescent="0.25">
      <c r="B226" s="264" t="s">
        <v>865</v>
      </c>
      <c r="C226" s="264" t="s">
        <v>866</v>
      </c>
      <c r="D226" s="264" t="s">
        <v>432</v>
      </c>
      <c r="E226" s="264">
        <v>1</v>
      </c>
      <c r="F226" s="265">
        <v>49414.406779661018</v>
      </c>
    </row>
    <row r="227" spans="2:6" ht="15" customHeight="1" x14ac:dyDescent="0.25">
      <c r="B227" s="264" t="s">
        <v>867</v>
      </c>
      <c r="C227" s="264" t="s">
        <v>868</v>
      </c>
      <c r="D227" s="264" t="s">
        <v>432</v>
      </c>
      <c r="E227" s="264">
        <v>8</v>
      </c>
      <c r="F227" s="265">
        <v>302591.66101694916</v>
      </c>
    </row>
    <row r="228" spans="2:6" ht="15" customHeight="1" x14ac:dyDescent="0.25">
      <c r="B228" s="264" t="s">
        <v>869</v>
      </c>
      <c r="C228" s="264" t="s">
        <v>870</v>
      </c>
      <c r="D228" s="264" t="s">
        <v>432</v>
      </c>
      <c r="E228" s="264">
        <v>3</v>
      </c>
      <c r="F228" s="265">
        <v>190848.30508474578</v>
      </c>
    </row>
    <row r="229" spans="2:6" ht="15" customHeight="1" x14ac:dyDescent="0.25">
      <c r="B229" s="264" t="s">
        <v>871</v>
      </c>
      <c r="C229" s="264" t="s">
        <v>872</v>
      </c>
      <c r="D229" s="264" t="s">
        <v>432</v>
      </c>
      <c r="E229" s="264">
        <v>5</v>
      </c>
      <c r="F229" s="265">
        <v>83300</v>
      </c>
    </row>
    <row r="230" spans="2:6" ht="15" customHeight="1" x14ac:dyDescent="0.25">
      <c r="B230" s="264" t="s">
        <v>873</v>
      </c>
      <c r="C230" s="264" t="s">
        <v>874</v>
      </c>
      <c r="D230" s="264" t="s">
        <v>432</v>
      </c>
      <c r="E230" s="264">
        <v>77</v>
      </c>
      <c r="F230" s="265">
        <v>431815.24576271186</v>
      </c>
    </row>
    <row r="231" spans="2:6" ht="15" customHeight="1" x14ac:dyDescent="0.25">
      <c r="B231" s="264" t="s">
        <v>875</v>
      </c>
      <c r="C231" s="264" t="s">
        <v>876</v>
      </c>
      <c r="D231" s="264" t="s">
        <v>432</v>
      </c>
      <c r="E231" s="264">
        <v>2</v>
      </c>
      <c r="F231" s="265">
        <v>4164.406779661017</v>
      </c>
    </row>
    <row r="232" spans="2:6" ht="15" customHeight="1" x14ac:dyDescent="0.25">
      <c r="B232" s="264" t="s">
        <v>877</v>
      </c>
      <c r="C232" s="264" t="s">
        <v>878</v>
      </c>
      <c r="D232" s="264" t="s">
        <v>432</v>
      </c>
      <c r="E232" s="264">
        <v>40</v>
      </c>
      <c r="F232" s="265">
        <v>168135.59322033898</v>
      </c>
    </row>
    <row r="233" spans="2:6" ht="15" customHeight="1" x14ac:dyDescent="0.25">
      <c r="B233" s="264" t="s">
        <v>879</v>
      </c>
      <c r="C233" s="264" t="s">
        <v>880</v>
      </c>
      <c r="D233" s="264" t="s">
        <v>432</v>
      </c>
      <c r="E233" s="264">
        <v>34</v>
      </c>
      <c r="F233" s="265">
        <v>1685.5932203389832</v>
      </c>
    </row>
    <row r="234" spans="2:6" ht="15" customHeight="1" x14ac:dyDescent="0.25">
      <c r="B234" s="264" t="s">
        <v>881</v>
      </c>
      <c r="C234" s="264" t="s">
        <v>882</v>
      </c>
      <c r="D234" s="264" t="s">
        <v>432</v>
      </c>
      <c r="E234" s="264">
        <v>1</v>
      </c>
      <c r="F234" s="265">
        <v>7203.3898305084749</v>
      </c>
    </row>
    <row r="235" spans="2:6" ht="15" customHeight="1" x14ac:dyDescent="0.25">
      <c r="B235" s="264" t="s">
        <v>883</v>
      </c>
      <c r="C235" s="264" t="s">
        <v>884</v>
      </c>
      <c r="D235" s="264" t="s">
        <v>432</v>
      </c>
      <c r="E235" s="264">
        <v>35</v>
      </c>
      <c r="F235" s="265">
        <v>402500</v>
      </c>
    </row>
    <row r="236" spans="2:6" ht="15" customHeight="1" x14ac:dyDescent="0.25">
      <c r="B236" s="264" t="s">
        <v>885</v>
      </c>
      <c r="C236" s="264" t="s">
        <v>886</v>
      </c>
      <c r="D236" s="264" t="s">
        <v>432</v>
      </c>
      <c r="E236" s="264">
        <v>2</v>
      </c>
      <c r="F236" s="265">
        <v>7.491525423728814</v>
      </c>
    </row>
    <row r="237" spans="2:6" ht="15" customHeight="1" x14ac:dyDescent="0.25">
      <c r="B237" s="264" t="s">
        <v>887</v>
      </c>
      <c r="C237" s="264" t="s">
        <v>888</v>
      </c>
      <c r="D237" s="264" t="s">
        <v>432</v>
      </c>
      <c r="E237" s="264">
        <v>2</v>
      </c>
      <c r="F237" s="265">
        <v>1560</v>
      </c>
    </row>
    <row r="238" spans="2:6" ht="15" customHeight="1" x14ac:dyDescent="0.25">
      <c r="B238" s="264" t="s">
        <v>889</v>
      </c>
      <c r="C238" s="264" t="s">
        <v>890</v>
      </c>
      <c r="D238" s="264" t="s">
        <v>432</v>
      </c>
      <c r="E238" s="264">
        <v>3</v>
      </c>
      <c r="F238" s="265">
        <v>381.35593220338984</v>
      </c>
    </row>
    <row r="239" spans="2:6" ht="15" customHeight="1" x14ac:dyDescent="0.25">
      <c r="B239" s="264" t="s">
        <v>891</v>
      </c>
      <c r="C239" s="264" t="s">
        <v>892</v>
      </c>
      <c r="D239" s="264" t="s">
        <v>432</v>
      </c>
      <c r="E239" s="264">
        <v>10</v>
      </c>
      <c r="F239" s="265">
        <v>635.59322033898309</v>
      </c>
    </row>
    <row r="240" spans="2:6" ht="15" customHeight="1" x14ac:dyDescent="0.25">
      <c r="B240" s="264" t="s">
        <v>893</v>
      </c>
      <c r="C240" s="264" t="s">
        <v>894</v>
      </c>
      <c r="D240" s="264" t="s">
        <v>432</v>
      </c>
      <c r="E240" s="264">
        <v>7</v>
      </c>
      <c r="F240" s="265">
        <v>385.00000000000006</v>
      </c>
    </row>
    <row r="241" spans="2:6" ht="15" customHeight="1" x14ac:dyDescent="0.25">
      <c r="B241" s="264" t="s">
        <v>895</v>
      </c>
      <c r="C241" s="264" t="s">
        <v>896</v>
      </c>
      <c r="D241" s="264" t="s">
        <v>432</v>
      </c>
      <c r="E241" s="264">
        <v>10</v>
      </c>
      <c r="F241" s="265">
        <v>1705.9322033898306</v>
      </c>
    </row>
    <row r="242" spans="2:6" ht="15" customHeight="1" x14ac:dyDescent="0.25">
      <c r="B242" s="264" t="s">
        <v>897</v>
      </c>
      <c r="C242" s="264" t="s">
        <v>898</v>
      </c>
      <c r="D242" s="264" t="s">
        <v>432</v>
      </c>
      <c r="E242" s="264">
        <v>10</v>
      </c>
      <c r="F242" s="265">
        <v>765.08474576271192</v>
      </c>
    </row>
    <row r="243" spans="2:6" ht="15" customHeight="1" x14ac:dyDescent="0.25">
      <c r="B243" s="264" t="s">
        <v>899</v>
      </c>
      <c r="C243" s="264" t="s">
        <v>900</v>
      </c>
      <c r="D243" s="264" t="s">
        <v>432</v>
      </c>
      <c r="E243" s="264">
        <v>1</v>
      </c>
      <c r="F243" s="265">
        <v>577</v>
      </c>
    </row>
    <row r="244" spans="2:6" ht="15" customHeight="1" x14ac:dyDescent="0.25">
      <c r="B244" s="264" t="s">
        <v>901</v>
      </c>
      <c r="C244" s="264" t="s">
        <v>902</v>
      </c>
      <c r="D244" s="264" t="s">
        <v>432</v>
      </c>
      <c r="E244" s="264">
        <v>11</v>
      </c>
      <c r="F244" s="265">
        <v>836.00000000000011</v>
      </c>
    </row>
    <row r="245" spans="2:6" ht="15" customHeight="1" x14ac:dyDescent="0.25">
      <c r="B245" s="264" t="s">
        <v>903</v>
      </c>
      <c r="C245" s="264" t="s">
        <v>904</v>
      </c>
      <c r="D245" s="264" t="s">
        <v>432</v>
      </c>
      <c r="E245" s="264">
        <v>8</v>
      </c>
      <c r="F245" s="265">
        <v>3986.4406779661017</v>
      </c>
    </row>
    <row r="246" spans="2:6" ht="15" customHeight="1" x14ac:dyDescent="0.25">
      <c r="B246" s="264" t="s">
        <v>905</v>
      </c>
      <c r="C246" s="264" t="s">
        <v>906</v>
      </c>
      <c r="D246" s="264" t="s">
        <v>432</v>
      </c>
      <c r="E246" s="264">
        <v>5</v>
      </c>
      <c r="F246" s="265">
        <v>21186.440677966104</v>
      </c>
    </row>
    <row r="247" spans="2:6" ht="15" customHeight="1" x14ac:dyDescent="0.25">
      <c r="B247" s="264" t="s">
        <v>907</v>
      </c>
      <c r="C247" s="264" t="s">
        <v>908</v>
      </c>
      <c r="D247" s="264" t="s">
        <v>432</v>
      </c>
      <c r="E247" s="264">
        <v>5</v>
      </c>
      <c r="F247" s="265">
        <v>52000</v>
      </c>
    </row>
    <row r="248" spans="2:6" ht="15" customHeight="1" x14ac:dyDescent="0.25">
      <c r="B248" s="264" t="s">
        <v>909</v>
      </c>
      <c r="C248" s="264" t="s">
        <v>910</v>
      </c>
      <c r="D248" s="264" t="s">
        <v>432</v>
      </c>
      <c r="E248" s="264">
        <v>12</v>
      </c>
      <c r="F248" s="265">
        <v>24240.000000000004</v>
      </c>
    </row>
    <row r="249" spans="2:6" ht="15" customHeight="1" x14ac:dyDescent="0.25">
      <c r="B249" s="264" t="s">
        <v>911</v>
      </c>
      <c r="C249" s="264" t="s">
        <v>912</v>
      </c>
      <c r="D249" s="264" t="s">
        <v>432</v>
      </c>
      <c r="E249" s="264">
        <v>2</v>
      </c>
      <c r="F249" s="265">
        <v>1144.0677966101696</v>
      </c>
    </row>
    <row r="250" spans="2:6" ht="15" customHeight="1" x14ac:dyDescent="0.25">
      <c r="B250" s="264" t="s">
        <v>913</v>
      </c>
      <c r="C250" s="264" t="s">
        <v>914</v>
      </c>
      <c r="D250" s="264" t="s">
        <v>432</v>
      </c>
      <c r="E250" s="264">
        <v>4</v>
      </c>
      <c r="F250" s="265">
        <v>2322.0338983050847</v>
      </c>
    </row>
    <row r="251" spans="2:6" ht="15" customHeight="1" x14ac:dyDescent="0.25">
      <c r="B251" s="264" t="s">
        <v>915</v>
      </c>
      <c r="C251" s="264" t="s">
        <v>916</v>
      </c>
      <c r="D251" s="264" t="s">
        <v>432</v>
      </c>
      <c r="E251" s="264">
        <v>6</v>
      </c>
      <c r="F251" s="265">
        <v>4309.1186440677966</v>
      </c>
    </row>
    <row r="252" spans="2:6" ht="15" customHeight="1" x14ac:dyDescent="0.25">
      <c r="B252" s="264" t="s">
        <v>917</v>
      </c>
      <c r="C252" s="264" t="s">
        <v>918</v>
      </c>
      <c r="D252" s="264" t="s">
        <v>432</v>
      </c>
      <c r="E252" s="264">
        <v>5</v>
      </c>
      <c r="F252" s="265">
        <v>6000</v>
      </c>
    </row>
    <row r="253" spans="2:6" ht="15" customHeight="1" x14ac:dyDescent="0.25">
      <c r="B253" s="264" t="s">
        <v>919</v>
      </c>
      <c r="C253" s="264" t="s">
        <v>920</v>
      </c>
      <c r="D253" s="264" t="s">
        <v>432</v>
      </c>
      <c r="E253" s="264">
        <v>4</v>
      </c>
      <c r="F253" s="265">
        <v>359.08474576271192</v>
      </c>
    </row>
    <row r="254" spans="2:6" ht="15" customHeight="1" x14ac:dyDescent="0.25">
      <c r="B254" s="264" t="s">
        <v>921</v>
      </c>
      <c r="C254" s="264" t="s">
        <v>922</v>
      </c>
      <c r="D254" s="264" t="s">
        <v>432</v>
      </c>
      <c r="E254" s="264">
        <v>6</v>
      </c>
      <c r="F254" s="265">
        <v>1509.7118644067798</v>
      </c>
    </row>
    <row r="255" spans="2:6" ht="15" customHeight="1" x14ac:dyDescent="0.25">
      <c r="B255" s="264" t="s">
        <v>923</v>
      </c>
      <c r="C255" s="264" t="s">
        <v>924</v>
      </c>
      <c r="D255" s="264" t="s">
        <v>432</v>
      </c>
      <c r="E255" s="264">
        <v>1</v>
      </c>
      <c r="F255" s="265">
        <v>574.55084745762713</v>
      </c>
    </row>
    <row r="256" spans="2:6" ht="15" customHeight="1" x14ac:dyDescent="0.25">
      <c r="B256" s="264" t="s">
        <v>925</v>
      </c>
      <c r="C256" s="264" t="s">
        <v>926</v>
      </c>
      <c r="D256" s="264" t="s">
        <v>432</v>
      </c>
      <c r="E256" s="264">
        <v>29</v>
      </c>
      <c r="F256" s="265">
        <v>3317.6016949152545</v>
      </c>
    </row>
    <row r="257" spans="2:6" ht="15" customHeight="1" x14ac:dyDescent="0.25">
      <c r="B257" s="264" t="s">
        <v>927</v>
      </c>
      <c r="C257" s="264" t="s">
        <v>928</v>
      </c>
      <c r="D257" s="264" t="s">
        <v>432</v>
      </c>
      <c r="E257" s="264">
        <v>35</v>
      </c>
      <c r="F257" s="265">
        <v>207.62711864406782</v>
      </c>
    </row>
    <row r="258" spans="2:6" ht="15" customHeight="1" x14ac:dyDescent="0.25">
      <c r="B258" s="264" t="s">
        <v>929</v>
      </c>
      <c r="C258" s="264" t="s">
        <v>930</v>
      </c>
      <c r="D258" s="264" t="s">
        <v>432</v>
      </c>
      <c r="E258" s="264">
        <v>191</v>
      </c>
      <c r="F258" s="265">
        <v>842.31355932203394</v>
      </c>
    </row>
    <row r="259" spans="2:6" ht="15" customHeight="1" x14ac:dyDescent="0.25">
      <c r="B259" s="264" t="s">
        <v>931</v>
      </c>
      <c r="C259" s="264" t="s">
        <v>932</v>
      </c>
      <c r="D259" s="264" t="s">
        <v>432</v>
      </c>
      <c r="E259" s="264">
        <v>300</v>
      </c>
      <c r="F259" s="265">
        <v>2625</v>
      </c>
    </row>
    <row r="260" spans="2:6" ht="15" customHeight="1" x14ac:dyDescent="0.25">
      <c r="B260" s="264" t="s">
        <v>933</v>
      </c>
      <c r="C260" s="264" t="s">
        <v>934</v>
      </c>
      <c r="D260" s="264" t="s">
        <v>432</v>
      </c>
      <c r="E260" s="264">
        <v>73</v>
      </c>
      <c r="F260" s="265">
        <v>4776.5508474576272</v>
      </c>
    </row>
    <row r="261" spans="2:6" ht="15" customHeight="1" x14ac:dyDescent="0.25">
      <c r="B261" s="264" t="s">
        <v>935</v>
      </c>
      <c r="C261" s="264" t="s">
        <v>936</v>
      </c>
      <c r="D261" s="264" t="s">
        <v>432</v>
      </c>
      <c r="E261" s="264">
        <v>123</v>
      </c>
      <c r="F261" s="265">
        <v>6254.2372881355932</v>
      </c>
    </row>
    <row r="262" spans="2:6" ht="15" customHeight="1" x14ac:dyDescent="0.25">
      <c r="B262" s="264" t="s">
        <v>937</v>
      </c>
      <c r="C262" s="264" t="s">
        <v>938</v>
      </c>
      <c r="D262" s="264" t="s">
        <v>432</v>
      </c>
      <c r="E262" s="264">
        <v>10</v>
      </c>
      <c r="F262" s="265">
        <v>2118.6440677966102</v>
      </c>
    </row>
    <row r="263" spans="2:6" ht="15" customHeight="1" x14ac:dyDescent="0.25">
      <c r="B263" s="264" t="s">
        <v>939</v>
      </c>
      <c r="C263" s="264" t="s">
        <v>940</v>
      </c>
      <c r="D263" s="264" t="s">
        <v>432</v>
      </c>
      <c r="E263" s="264">
        <v>41</v>
      </c>
      <c r="F263" s="265">
        <v>312.71186440677968</v>
      </c>
    </row>
    <row r="264" spans="2:6" ht="15" customHeight="1" x14ac:dyDescent="0.25">
      <c r="B264" s="264" t="s">
        <v>941</v>
      </c>
      <c r="C264" s="264" t="s">
        <v>942</v>
      </c>
      <c r="D264" s="264" t="s">
        <v>432</v>
      </c>
      <c r="E264" s="264">
        <v>6</v>
      </c>
      <c r="F264" s="265">
        <v>11186.440677966102</v>
      </c>
    </row>
    <row r="265" spans="2:6" ht="15" customHeight="1" x14ac:dyDescent="0.25">
      <c r="B265" s="264" t="s">
        <v>943</v>
      </c>
      <c r="C265" s="264" t="s">
        <v>944</v>
      </c>
      <c r="D265" s="264" t="s">
        <v>432</v>
      </c>
      <c r="E265" s="264">
        <v>13</v>
      </c>
      <c r="F265" s="265">
        <v>26440.677966101695</v>
      </c>
    </row>
    <row r="266" spans="2:6" ht="15" customHeight="1" x14ac:dyDescent="0.25">
      <c r="B266" s="264" t="s">
        <v>945</v>
      </c>
      <c r="C266" s="264" t="s">
        <v>946</v>
      </c>
      <c r="D266" s="264" t="s">
        <v>432</v>
      </c>
      <c r="E266" s="264">
        <v>61</v>
      </c>
      <c r="F266" s="265">
        <v>5795.0000000000009</v>
      </c>
    </row>
    <row r="267" spans="2:6" ht="15" customHeight="1" x14ac:dyDescent="0.25">
      <c r="B267" s="264" t="s">
        <v>947</v>
      </c>
      <c r="C267" s="264" t="s">
        <v>948</v>
      </c>
      <c r="D267" s="264" t="s">
        <v>432</v>
      </c>
      <c r="E267" s="264">
        <v>27</v>
      </c>
      <c r="F267" s="265">
        <v>7020.0000000000009</v>
      </c>
    </row>
    <row r="268" spans="2:6" ht="15" customHeight="1" x14ac:dyDescent="0.25">
      <c r="B268" s="264" t="s">
        <v>949</v>
      </c>
      <c r="C268" s="264" t="s">
        <v>950</v>
      </c>
      <c r="D268" s="264" t="s">
        <v>432</v>
      </c>
      <c r="E268" s="264">
        <v>3</v>
      </c>
      <c r="F268" s="265">
        <v>1525.4237288135594</v>
      </c>
    </row>
    <row r="269" spans="2:6" ht="15" customHeight="1" x14ac:dyDescent="0.25">
      <c r="B269" s="264" t="s">
        <v>951</v>
      </c>
      <c r="C269" s="264" t="s">
        <v>952</v>
      </c>
      <c r="D269" s="264" t="s">
        <v>432</v>
      </c>
      <c r="E269" s="264">
        <v>25</v>
      </c>
      <c r="F269" s="265">
        <v>2125</v>
      </c>
    </row>
    <row r="270" spans="2:6" ht="15" customHeight="1" x14ac:dyDescent="0.25">
      <c r="B270" s="264" t="s">
        <v>953</v>
      </c>
      <c r="C270" s="264" t="s">
        <v>954</v>
      </c>
      <c r="D270" s="264" t="s">
        <v>432</v>
      </c>
      <c r="E270" s="264">
        <v>13</v>
      </c>
      <c r="F270" s="265">
        <v>1533.0084745762713</v>
      </c>
    </row>
    <row r="271" spans="2:6" ht="15" customHeight="1" x14ac:dyDescent="0.25">
      <c r="B271" s="264" t="s">
        <v>955</v>
      </c>
      <c r="C271" s="264" t="s">
        <v>956</v>
      </c>
      <c r="D271" s="264" t="s">
        <v>432</v>
      </c>
      <c r="E271" s="264">
        <v>5</v>
      </c>
      <c r="F271" s="265">
        <v>1483.0508474576272</v>
      </c>
    </row>
    <row r="272" spans="2:6" ht="15" customHeight="1" x14ac:dyDescent="0.25">
      <c r="B272" s="264" t="s">
        <v>957</v>
      </c>
      <c r="C272" s="264" t="s">
        <v>958</v>
      </c>
      <c r="D272" s="264" t="s">
        <v>432</v>
      </c>
      <c r="E272" s="264">
        <v>19</v>
      </c>
      <c r="F272" s="265">
        <v>563.5593220338983</v>
      </c>
    </row>
    <row r="273" spans="2:6" ht="15" customHeight="1" x14ac:dyDescent="0.25">
      <c r="B273" s="264" t="s">
        <v>959</v>
      </c>
      <c r="C273" s="264" t="s">
        <v>960</v>
      </c>
      <c r="D273" s="264" t="s">
        <v>432</v>
      </c>
      <c r="E273" s="264">
        <v>8</v>
      </c>
      <c r="F273" s="265">
        <v>3389.8305084745766</v>
      </c>
    </row>
    <row r="274" spans="2:6" ht="15" customHeight="1" x14ac:dyDescent="0.25">
      <c r="B274" s="264" t="s">
        <v>961</v>
      </c>
      <c r="C274" s="264" t="s">
        <v>962</v>
      </c>
      <c r="D274" s="264" t="s">
        <v>432</v>
      </c>
      <c r="E274" s="264">
        <v>9</v>
      </c>
      <c r="F274" s="265">
        <v>5535</v>
      </c>
    </row>
    <row r="275" spans="2:6" ht="15" customHeight="1" x14ac:dyDescent="0.25">
      <c r="B275" s="264" t="s">
        <v>963</v>
      </c>
      <c r="C275" s="264" t="s">
        <v>964</v>
      </c>
      <c r="D275" s="264" t="s">
        <v>432</v>
      </c>
      <c r="E275" s="264">
        <v>6</v>
      </c>
      <c r="F275" s="265">
        <v>1083.0508474576272</v>
      </c>
    </row>
    <row r="276" spans="2:6" ht="15" customHeight="1" x14ac:dyDescent="0.25">
      <c r="B276" s="264" t="s">
        <v>965</v>
      </c>
      <c r="C276" s="264" t="s">
        <v>966</v>
      </c>
      <c r="D276" s="264" t="s">
        <v>432</v>
      </c>
      <c r="E276" s="264">
        <v>551</v>
      </c>
      <c r="F276" s="265">
        <v>21012.711864406781</v>
      </c>
    </row>
    <row r="277" spans="2:6" ht="15" customHeight="1" x14ac:dyDescent="0.25">
      <c r="B277" s="264" t="s">
        <v>967</v>
      </c>
      <c r="C277" s="264" t="s">
        <v>968</v>
      </c>
      <c r="D277" s="264" t="s">
        <v>432</v>
      </c>
      <c r="E277" s="264">
        <v>8</v>
      </c>
      <c r="F277" s="265">
        <v>1118.6440677966102</v>
      </c>
    </row>
    <row r="278" spans="2:6" ht="15" customHeight="1" x14ac:dyDescent="0.25">
      <c r="B278" s="264" t="s">
        <v>969</v>
      </c>
      <c r="C278" s="264" t="s">
        <v>970</v>
      </c>
      <c r="D278" s="264" t="s">
        <v>432</v>
      </c>
      <c r="E278" s="264">
        <v>22</v>
      </c>
      <c r="F278" s="265">
        <v>20504.000000000004</v>
      </c>
    </row>
    <row r="279" spans="2:6" ht="15" customHeight="1" x14ac:dyDescent="0.25">
      <c r="B279" s="264" t="s">
        <v>971</v>
      </c>
      <c r="C279" s="264" t="s">
        <v>972</v>
      </c>
      <c r="D279" s="264" t="s">
        <v>432</v>
      </c>
      <c r="E279" s="264">
        <v>13</v>
      </c>
      <c r="F279" s="265">
        <v>2511.8644067796613</v>
      </c>
    </row>
    <row r="280" spans="2:6" ht="15" customHeight="1" x14ac:dyDescent="0.25">
      <c r="B280" s="264" t="s">
        <v>973</v>
      </c>
      <c r="C280" s="264" t="s">
        <v>974</v>
      </c>
      <c r="D280" s="264" t="s">
        <v>432</v>
      </c>
      <c r="E280" s="264">
        <v>4</v>
      </c>
      <c r="F280" s="265">
        <v>406.77966101694915</v>
      </c>
    </row>
    <row r="281" spans="2:6" ht="15" customHeight="1" x14ac:dyDescent="0.25">
      <c r="B281" s="264" t="s">
        <v>975</v>
      </c>
      <c r="C281" s="264" t="s">
        <v>976</v>
      </c>
      <c r="D281" s="264" t="s">
        <v>432</v>
      </c>
      <c r="E281" s="264">
        <v>15</v>
      </c>
      <c r="F281" s="265">
        <v>1435.9322033898306</v>
      </c>
    </row>
    <row r="282" spans="2:6" ht="15" customHeight="1" x14ac:dyDescent="0.25">
      <c r="B282" s="264" t="s">
        <v>977</v>
      </c>
      <c r="C282" s="264" t="s">
        <v>978</v>
      </c>
      <c r="D282" s="264" t="s">
        <v>432</v>
      </c>
      <c r="E282" s="264">
        <v>15</v>
      </c>
      <c r="F282" s="265">
        <v>10500</v>
      </c>
    </row>
    <row r="283" spans="2:6" ht="15" customHeight="1" x14ac:dyDescent="0.25">
      <c r="B283" s="264" t="s">
        <v>979</v>
      </c>
      <c r="C283" s="264" t="s">
        <v>980</v>
      </c>
      <c r="D283" s="264" t="s">
        <v>432</v>
      </c>
      <c r="E283" s="264">
        <v>12</v>
      </c>
      <c r="F283" s="265">
        <v>3447.2542372881358</v>
      </c>
    </row>
    <row r="284" spans="2:6" ht="15" customHeight="1" x14ac:dyDescent="0.25">
      <c r="B284" s="264" t="s">
        <v>981</v>
      </c>
      <c r="C284" s="264" t="s">
        <v>982</v>
      </c>
      <c r="D284" s="264" t="s">
        <v>432</v>
      </c>
      <c r="E284" s="264">
        <v>6</v>
      </c>
      <c r="F284" s="265">
        <v>5262.7118644067796</v>
      </c>
    </row>
    <row r="285" spans="2:6" ht="15" customHeight="1" x14ac:dyDescent="0.25">
      <c r="B285" s="264" t="s">
        <v>983</v>
      </c>
      <c r="C285" s="264" t="s">
        <v>984</v>
      </c>
      <c r="D285" s="264" t="s">
        <v>432</v>
      </c>
      <c r="E285" s="264">
        <v>1</v>
      </c>
      <c r="F285" s="265">
        <v>220.33898305084747</v>
      </c>
    </row>
    <row r="286" spans="2:6" ht="15" customHeight="1" x14ac:dyDescent="0.25">
      <c r="B286" s="264" t="s">
        <v>985</v>
      </c>
      <c r="C286" s="264" t="s">
        <v>986</v>
      </c>
      <c r="D286" s="264" t="s">
        <v>432</v>
      </c>
      <c r="E286" s="264">
        <v>12</v>
      </c>
      <c r="F286" s="265">
        <v>966.10169491525426</v>
      </c>
    </row>
    <row r="287" spans="2:6" ht="15" customHeight="1" x14ac:dyDescent="0.25">
      <c r="B287" s="264" t="s">
        <v>987</v>
      </c>
      <c r="C287" s="264" t="s">
        <v>988</v>
      </c>
      <c r="D287" s="264" t="s">
        <v>432</v>
      </c>
      <c r="E287" s="264">
        <v>6</v>
      </c>
      <c r="F287" s="265">
        <v>584.74576271186447</v>
      </c>
    </row>
    <row r="288" spans="2:6" ht="15" customHeight="1" x14ac:dyDescent="0.25">
      <c r="B288" s="264" t="s">
        <v>989</v>
      </c>
      <c r="C288" s="264" t="s">
        <v>990</v>
      </c>
      <c r="D288" s="264" t="s">
        <v>432</v>
      </c>
      <c r="E288" s="264">
        <v>500</v>
      </c>
      <c r="F288" s="265">
        <v>7595.0000000000009</v>
      </c>
    </row>
    <row r="289" spans="2:6" ht="15" customHeight="1" x14ac:dyDescent="0.25">
      <c r="B289" s="264" t="s">
        <v>991</v>
      </c>
      <c r="C289" s="264" t="s">
        <v>992</v>
      </c>
      <c r="D289" s="264" t="s">
        <v>432</v>
      </c>
      <c r="E289" s="264">
        <v>5</v>
      </c>
      <c r="F289" s="265">
        <v>593.22033898305085</v>
      </c>
    </row>
    <row r="290" spans="2:6" ht="15" customHeight="1" x14ac:dyDescent="0.25">
      <c r="B290" s="264" t="s">
        <v>993</v>
      </c>
      <c r="C290" s="264" t="s">
        <v>994</v>
      </c>
      <c r="D290" s="264" t="s">
        <v>432</v>
      </c>
      <c r="E290" s="264">
        <v>6</v>
      </c>
      <c r="F290" s="265">
        <v>305.08474576271186</v>
      </c>
    </row>
    <row r="291" spans="2:6" ht="15" customHeight="1" x14ac:dyDescent="0.25">
      <c r="B291" s="264" t="s">
        <v>995</v>
      </c>
      <c r="C291" s="264" t="s">
        <v>996</v>
      </c>
      <c r="D291" s="264" t="s">
        <v>432</v>
      </c>
      <c r="E291" s="264">
        <v>14</v>
      </c>
      <c r="F291" s="265">
        <v>2965.9830508474579</v>
      </c>
    </row>
    <row r="292" spans="2:6" ht="15" customHeight="1" x14ac:dyDescent="0.25">
      <c r="B292" s="264" t="s">
        <v>997</v>
      </c>
      <c r="C292" s="264" t="s">
        <v>998</v>
      </c>
      <c r="D292" s="264" t="s">
        <v>432</v>
      </c>
      <c r="E292" s="264">
        <v>34</v>
      </c>
      <c r="F292" s="265">
        <v>16711.864406779663</v>
      </c>
    </row>
    <row r="293" spans="2:6" ht="15" customHeight="1" x14ac:dyDescent="0.25">
      <c r="B293" s="264" t="s">
        <v>999</v>
      </c>
      <c r="C293" s="264" t="s">
        <v>1000</v>
      </c>
      <c r="D293" s="264" t="s">
        <v>432</v>
      </c>
      <c r="E293" s="264">
        <v>27</v>
      </c>
      <c r="F293" s="265">
        <v>17847.457627118645</v>
      </c>
    </row>
    <row r="294" spans="2:6" ht="15" customHeight="1" x14ac:dyDescent="0.25">
      <c r="B294" s="264" t="s">
        <v>1001</v>
      </c>
      <c r="C294" s="264" t="s">
        <v>1002</v>
      </c>
      <c r="D294" s="264" t="s">
        <v>432</v>
      </c>
      <c r="E294" s="264">
        <v>50</v>
      </c>
      <c r="F294" s="265">
        <v>4313.0084745762715</v>
      </c>
    </row>
    <row r="295" spans="2:6" ht="15" customHeight="1" x14ac:dyDescent="0.25">
      <c r="B295" s="264" t="s">
        <v>1003</v>
      </c>
      <c r="C295" s="264" t="s">
        <v>1004</v>
      </c>
      <c r="D295" s="264" t="s">
        <v>432</v>
      </c>
      <c r="E295" s="264">
        <v>30</v>
      </c>
      <c r="F295" s="265">
        <v>1525.4237288135594</v>
      </c>
    </row>
    <row r="296" spans="2:6" ht="15" customHeight="1" x14ac:dyDescent="0.25">
      <c r="B296" s="264" t="s">
        <v>1005</v>
      </c>
      <c r="C296" s="264" t="s">
        <v>1006</v>
      </c>
      <c r="D296" s="264" t="s">
        <v>432</v>
      </c>
      <c r="E296" s="264">
        <v>73</v>
      </c>
      <c r="F296" s="265">
        <v>2301.6949152542375</v>
      </c>
    </row>
    <row r="297" spans="2:6" ht="15" customHeight="1" x14ac:dyDescent="0.25">
      <c r="B297" s="264" t="s">
        <v>1007</v>
      </c>
      <c r="C297" s="264" t="s">
        <v>1008</v>
      </c>
      <c r="D297" s="264" t="s">
        <v>432</v>
      </c>
      <c r="E297" s="264">
        <v>82</v>
      </c>
      <c r="F297" s="265">
        <v>10012.338983050848</v>
      </c>
    </row>
    <row r="298" spans="2:6" ht="15" customHeight="1" x14ac:dyDescent="0.25">
      <c r="B298" s="264" t="s">
        <v>1009</v>
      </c>
      <c r="C298" s="264" t="s">
        <v>1010</v>
      </c>
      <c r="D298" s="264" t="s">
        <v>432</v>
      </c>
      <c r="E298" s="264">
        <v>7</v>
      </c>
      <c r="F298" s="265">
        <v>296.61016949152543</v>
      </c>
    </row>
    <row r="299" spans="2:6" ht="15" customHeight="1" x14ac:dyDescent="0.25">
      <c r="B299" s="264" t="s">
        <v>1011</v>
      </c>
      <c r="C299" s="264" t="s">
        <v>1012</v>
      </c>
      <c r="D299" s="264" t="s">
        <v>432</v>
      </c>
      <c r="E299" s="264">
        <v>1</v>
      </c>
      <c r="F299" s="265">
        <v>63.559322033898312</v>
      </c>
    </row>
    <row r="300" spans="2:6" ht="15" customHeight="1" x14ac:dyDescent="0.25">
      <c r="B300" s="264" t="s">
        <v>1013</v>
      </c>
      <c r="C300" s="264" t="s">
        <v>1014</v>
      </c>
      <c r="D300" s="264" t="s">
        <v>432</v>
      </c>
      <c r="E300" s="264">
        <v>3</v>
      </c>
      <c r="F300" s="265">
        <v>190.67796610169492</v>
      </c>
    </row>
    <row r="301" spans="2:6" ht="15" customHeight="1" x14ac:dyDescent="0.25">
      <c r="B301" s="264" t="s">
        <v>1015</v>
      </c>
      <c r="C301" s="264" t="s">
        <v>1016</v>
      </c>
      <c r="D301" s="264" t="s">
        <v>432</v>
      </c>
      <c r="E301" s="264">
        <v>1</v>
      </c>
      <c r="F301" s="265">
        <v>63.559322033898312</v>
      </c>
    </row>
    <row r="302" spans="2:6" ht="15" customHeight="1" x14ac:dyDescent="0.25">
      <c r="B302" s="264" t="s">
        <v>1017</v>
      </c>
      <c r="C302" s="264" t="s">
        <v>1018</v>
      </c>
      <c r="D302" s="264" t="s">
        <v>432</v>
      </c>
      <c r="E302" s="264">
        <v>1</v>
      </c>
      <c r="F302" s="265">
        <v>127.11864406779662</v>
      </c>
    </row>
    <row r="303" spans="2:6" ht="15" customHeight="1" x14ac:dyDescent="0.25">
      <c r="B303" s="264" t="s">
        <v>1019</v>
      </c>
      <c r="C303" s="264" t="s">
        <v>1020</v>
      </c>
      <c r="D303" s="264" t="s">
        <v>432</v>
      </c>
      <c r="E303" s="264">
        <v>7</v>
      </c>
      <c r="F303" s="265">
        <v>207.62711864406782</v>
      </c>
    </row>
    <row r="304" spans="2:6" ht="15" customHeight="1" x14ac:dyDescent="0.25">
      <c r="B304" s="264" t="s">
        <v>1021</v>
      </c>
      <c r="C304" s="264" t="s">
        <v>1022</v>
      </c>
      <c r="D304" s="264" t="s">
        <v>432</v>
      </c>
      <c r="E304" s="264">
        <v>7</v>
      </c>
      <c r="F304" s="265">
        <v>9424.1610169491523</v>
      </c>
    </row>
    <row r="305" spans="2:6" ht="15" customHeight="1" x14ac:dyDescent="0.25">
      <c r="B305" s="264" t="s">
        <v>1023</v>
      </c>
      <c r="C305" s="264" t="s">
        <v>1024</v>
      </c>
      <c r="D305" s="264" t="s">
        <v>432</v>
      </c>
      <c r="E305" s="264">
        <v>7</v>
      </c>
      <c r="F305" s="265">
        <v>3865.8898305084749</v>
      </c>
    </row>
    <row r="306" spans="2:6" ht="15" customHeight="1" x14ac:dyDescent="0.25">
      <c r="B306" s="264" t="s">
        <v>1025</v>
      </c>
      <c r="C306" s="264" t="s">
        <v>1026</v>
      </c>
      <c r="D306" s="264" t="s">
        <v>432</v>
      </c>
      <c r="E306" s="264">
        <v>2</v>
      </c>
      <c r="F306" s="265">
        <v>2478.8050847457625</v>
      </c>
    </row>
    <row r="307" spans="2:6" ht="15" customHeight="1" x14ac:dyDescent="0.25">
      <c r="B307" s="264" t="s">
        <v>1027</v>
      </c>
      <c r="C307" s="264" t="s">
        <v>1028</v>
      </c>
      <c r="D307" s="264" t="s">
        <v>432</v>
      </c>
      <c r="E307" s="264">
        <v>3</v>
      </c>
      <c r="F307" s="265">
        <v>10946.406779661018</v>
      </c>
    </row>
    <row r="308" spans="2:6" ht="15" customHeight="1" x14ac:dyDescent="0.25">
      <c r="B308" s="264" t="s">
        <v>1029</v>
      </c>
      <c r="C308" s="264" t="s">
        <v>1030</v>
      </c>
      <c r="D308" s="264" t="s">
        <v>432</v>
      </c>
      <c r="E308" s="264">
        <v>8</v>
      </c>
      <c r="F308" s="265">
        <v>474.57627118644069</v>
      </c>
    </row>
    <row r="309" spans="2:6" ht="15" customHeight="1" x14ac:dyDescent="0.25">
      <c r="B309" s="264" t="s">
        <v>1031</v>
      </c>
      <c r="C309" s="264" t="s">
        <v>1032</v>
      </c>
      <c r="D309" s="264" t="s">
        <v>432</v>
      </c>
      <c r="E309" s="264">
        <v>6</v>
      </c>
      <c r="F309" s="265">
        <v>497.22033898305091</v>
      </c>
    </row>
    <row r="310" spans="2:6" ht="15" customHeight="1" x14ac:dyDescent="0.25">
      <c r="B310" s="264" t="s">
        <v>1033</v>
      </c>
      <c r="C310" s="264" t="s">
        <v>1034</v>
      </c>
      <c r="D310" s="264" t="s">
        <v>432</v>
      </c>
      <c r="E310" s="264">
        <v>11</v>
      </c>
      <c r="F310" s="265">
        <v>2088.1271186440677</v>
      </c>
    </row>
    <row r="311" spans="2:6" ht="15" customHeight="1" x14ac:dyDescent="0.25">
      <c r="B311" s="264" t="s">
        <v>1035</v>
      </c>
      <c r="C311" s="264" t="s">
        <v>1036</v>
      </c>
      <c r="D311" s="264" t="s">
        <v>432</v>
      </c>
      <c r="E311" s="264">
        <v>4</v>
      </c>
      <c r="F311" s="265">
        <v>169.49152542372883</v>
      </c>
    </row>
    <row r="312" spans="2:6" ht="15" customHeight="1" x14ac:dyDescent="0.25">
      <c r="B312" s="264" t="s">
        <v>1037</v>
      </c>
      <c r="C312" s="264" t="s">
        <v>1038</v>
      </c>
      <c r="D312" s="264" t="s">
        <v>432</v>
      </c>
      <c r="E312" s="264">
        <v>18</v>
      </c>
      <c r="F312" s="265">
        <v>874.61016949152543</v>
      </c>
    </row>
    <row r="313" spans="2:6" ht="15" customHeight="1" x14ac:dyDescent="0.25">
      <c r="B313" s="264" t="s">
        <v>1039</v>
      </c>
      <c r="C313" s="264" t="s">
        <v>1040</v>
      </c>
      <c r="D313" s="264" t="s">
        <v>432</v>
      </c>
      <c r="E313" s="264">
        <v>10</v>
      </c>
      <c r="F313" s="265">
        <v>1186.4406779661017</v>
      </c>
    </row>
    <row r="314" spans="2:6" ht="15" customHeight="1" x14ac:dyDescent="0.25">
      <c r="B314" s="264" t="s">
        <v>1041</v>
      </c>
      <c r="C314" s="264" t="s">
        <v>1042</v>
      </c>
      <c r="D314" s="264" t="s">
        <v>432</v>
      </c>
      <c r="E314" s="264">
        <v>4</v>
      </c>
      <c r="F314" s="265">
        <v>3728.7966101694915</v>
      </c>
    </row>
    <row r="315" spans="2:6" ht="15" customHeight="1" x14ac:dyDescent="0.25">
      <c r="B315" s="264" t="s">
        <v>1043</v>
      </c>
      <c r="C315" s="264" t="s">
        <v>1044</v>
      </c>
      <c r="D315" s="264" t="s">
        <v>432</v>
      </c>
      <c r="E315" s="264">
        <v>9</v>
      </c>
      <c r="F315" s="265">
        <v>3050.8474576271187</v>
      </c>
    </row>
    <row r="316" spans="2:6" ht="15" customHeight="1" x14ac:dyDescent="0.25">
      <c r="B316" s="264" t="s">
        <v>1045</v>
      </c>
      <c r="C316" s="264" t="s">
        <v>1046</v>
      </c>
      <c r="D316" s="264" t="s">
        <v>432</v>
      </c>
      <c r="E316" s="264">
        <v>1</v>
      </c>
      <c r="F316" s="265">
        <v>400</v>
      </c>
    </row>
    <row r="317" spans="2:6" ht="15" customHeight="1" x14ac:dyDescent="0.25">
      <c r="B317" s="264" t="s">
        <v>1047</v>
      </c>
      <c r="C317" s="264" t="s">
        <v>1048</v>
      </c>
      <c r="D317" s="264" t="s">
        <v>432</v>
      </c>
      <c r="E317" s="264">
        <v>25</v>
      </c>
      <c r="F317" s="265">
        <v>2693.1864406779664</v>
      </c>
    </row>
    <row r="318" spans="2:6" ht="15" customHeight="1" x14ac:dyDescent="0.25">
      <c r="B318" s="264" t="s">
        <v>1049</v>
      </c>
      <c r="C318" s="264" t="s">
        <v>1050</v>
      </c>
      <c r="D318" s="264" t="s">
        <v>432</v>
      </c>
      <c r="E318" s="264">
        <v>10</v>
      </c>
      <c r="F318" s="265">
        <v>1256.8644067796611</v>
      </c>
    </row>
    <row r="319" spans="2:6" ht="15" customHeight="1" x14ac:dyDescent="0.25">
      <c r="B319" s="264" t="s">
        <v>1051</v>
      </c>
      <c r="C319" s="264" t="s">
        <v>1052</v>
      </c>
      <c r="D319" s="264" t="s">
        <v>432</v>
      </c>
      <c r="E319" s="264">
        <v>20</v>
      </c>
      <c r="F319" s="265">
        <v>2513.7288135593221</v>
      </c>
    </row>
    <row r="320" spans="2:6" ht="15" customHeight="1" x14ac:dyDescent="0.25">
      <c r="B320" s="264" t="s">
        <v>1053</v>
      </c>
      <c r="C320" s="264" t="s">
        <v>1054</v>
      </c>
      <c r="D320" s="264" t="s">
        <v>432</v>
      </c>
      <c r="E320" s="264">
        <v>12</v>
      </c>
      <c r="F320" s="265">
        <v>610.16949152542372</v>
      </c>
    </row>
    <row r="321" spans="2:6" ht="15" customHeight="1" x14ac:dyDescent="0.25">
      <c r="B321" s="264" t="s">
        <v>1055</v>
      </c>
      <c r="C321" s="264" t="s">
        <v>1056</v>
      </c>
      <c r="D321" s="264" t="s">
        <v>432</v>
      </c>
      <c r="E321" s="264">
        <v>2</v>
      </c>
      <c r="F321" s="265">
        <v>757.66101694915255</v>
      </c>
    </row>
    <row r="322" spans="2:6" ht="15" customHeight="1" x14ac:dyDescent="0.25">
      <c r="B322" s="264" t="s">
        <v>1057</v>
      </c>
      <c r="C322" s="264" t="s">
        <v>1058</v>
      </c>
      <c r="D322" s="264" t="s">
        <v>432</v>
      </c>
      <c r="E322" s="264">
        <v>2</v>
      </c>
      <c r="F322" s="265">
        <v>652</v>
      </c>
    </row>
    <row r="323" spans="2:6" ht="15" customHeight="1" x14ac:dyDescent="0.25">
      <c r="B323" s="264" t="s">
        <v>1059</v>
      </c>
      <c r="C323" s="264" t="s">
        <v>1060</v>
      </c>
      <c r="D323" s="264" t="s">
        <v>432</v>
      </c>
      <c r="E323" s="264">
        <v>17</v>
      </c>
      <c r="F323" s="265">
        <v>4272.4406779661012</v>
      </c>
    </row>
    <row r="324" spans="2:6" ht="15" customHeight="1" x14ac:dyDescent="0.25">
      <c r="B324" s="264" t="s">
        <v>1061</v>
      </c>
      <c r="C324" s="264" t="s">
        <v>1062</v>
      </c>
      <c r="D324" s="264" t="s">
        <v>432</v>
      </c>
      <c r="E324" s="264">
        <v>9</v>
      </c>
      <c r="F324" s="265">
        <v>3123</v>
      </c>
    </row>
    <row r="325" spans="2:6" ht="15" customHeight="1" x14ac:dyDescent="0.25">
      <c r="B325" s="264" t="s">
        <v>1063</v>
      </c>
      <c r="C325" s="264" t="s">
        <v>1064</v>
      </c>
      <c r="D325" s="264" t="s">
        <v>432</v>
      </c>
      <c r="E325" s="264">
        <v>500</v>
      </c>
      <c r="F325" s="265">
        <v>16250</v>
      </c>
    </row>
    <row r="326" spans="2:6" ht="15" customHeight="1" x14ac:dyDescent="0.25">
      <c r="B326" s="264" t="s">
        <v>1065</v>
      </c>
      <c r="C326" s="264" t="s">
        <v>1066</v>
      </c>
      <c r="D326" s="264" t="s">
        <v>432</v>
      </c>
      <c r="E326" s="264">
        <v>4</v>
      </c>
      <c r="F326" s="265">
        <v>12980</v>
      </c>
    </row>
    <row r="327" spans="2:6" ht="15" customHeight="1" x14ac:dyDescent="0.25">
      <c r="B327" s="264" t="s">
        <v>1067</v>
      </c>
      <c r="C327" s="264" t="s">
        <v>1068</v>
      </c>
      <c r="D327" s="264" t="s">
        <v>432</v>
      </c>
      <c r="E327" s="264">
        <v>8</v>
      </c>
      <c r="F327" s="265">
        <v>473.76271186440675</v>
      </c>
    </row>
    <row r="328" spans="2:6" ht="15" customHeight="1" x14ac:dyDescent="0.25">
      <c r="B328" s="264" t="s">
        <v>1069</v>
      </c>
      <c r="C328" s="264" t="s">
        <v>1070</v>
      </c>
      <c r="D328" s="264" t="s">
        <v>432</v>
      </c>
      <c r="E328" s="264">
        <v>16</v>
      </c>
      <c r="F328" s="265">
        <v>881.3559322033899</v>
      </c>
    </row>
    <row r="329" spans="2:6" ht="15" customHeight="1" x14ac:dyDescent="0.25">
      <c r="B329" s="264" t="s">
        <v>1071</v>
      </c>
      <c r="C329" s="264" t="s">
        <v>1072</v>
      </c>
      <c r="D329" s="264" t="s">
        <v>432</v>
      </c>
      <c r="E329" s="264">
        <v>1</v>
      </c>
      <c r="F329" s="265">
        <v>1755.0000000000002</v>
      </c>
    </row>
    <row r="330" spans="2:6" ht="15" customHeight="1" x14ac:dyDescent="0.25">
      <c r="B330" s="264" t="s">
        <v>1073</v>
      </c>
      <c r="C330" s="264" t="s">
        <v>1074</v>
      </c>
      <c r="D330" s="264" t="s">
        <v>432</v>
      </c>
      <c r="E330" s="264">
        <v>19</v>
      </c>
      <c r="F330" s="265">
        <v>684</v>
      </c>
    </row>
    <row r="331" spans="2:6" ht="15" customHeight="1" x14ac:dyDescent="0.25">
      <c r="B331" s="264" t="s">
        <v>1075</v>
      </c>
      <c r="C331" s="264" t="s">
        <v>1076</v>
      </c>
      <c r="D331" s="264" t="s">
        <v>432</v>
      </c>
      <c r="E331" s="264">
        <v>4</v>
      </c>
      <c r="F331" s="265">
        <v>336.00000000000006</v>
      </c>
    </row>
    <row r="332" spans="2:6" ht="15" customHeight="1" x14ac:dyDescent="0.25">
      <c r="B332" s="264" t="s">
        <v>1077</v>
      </c>
      <c r="C332" s="264" t="s">
        <v>1078</v>
      </c>
      <c r="D332" s="264" t="s">
        <v>432</v>
      </c>
      <c r="E332" s="264">
        <v>10</v>
      </c>
      <c r="F332" s="265">
        <v>3180.0000000000005</v>
      </c>
    </row>
    <row r="333" spans="2:6" ht="15" customHeight="1" x14ac:dyDescent="0.25">
      <c r="B333" s="264" t="s">
        <v>1079</v>
      </c>
      <c r="C333" s="264" t="s">
        <v>1080</v>
      </c>
      <c r="D333" s="264" t="s">
        <v>432</v>
      </c>
      <c r="E333" s="264">
        <v>12</v>
      </c>
      <c r="F333" s="265">
        <v>540.00000000000011</v>
      </c>
    </row>
    <row r="334" spans="2:6" ht="15" customHeight="1" x14ac:dyDescent="0.25">
      <c r="B334" s="264" t="s">
        <v>1081</v>
      </c>
      <c r="C334" s="264" t="s">
        <v>1082</v>
      </c>
      <c r="D334" s="264" t="s">
        <v>432</v>
      </c>
      <c r="E334" s="264">
        <v>5</v>
      </c>
      <c r="F334" s="265">
        <v>7425</v>
      </c>
    </row>
    <row r="335" spans="2:6" ht="15" customHeight="1" x14ac:dyDescent="0.25">
      <c r="B335" s="264" t="s">
        <v>1083</v>
      </c>
      <c r="C335" s="264" t="s">
        <v>1084</v>
      </c>
      <c r="D335" s="264" t="s">
        <v>432</v>
      </c>
      <c r="E335" s="264">
        <v>10</v>
      </c>
      <c r="F335" s="265">
        <v>1785.0000000000002</v>
      </c>
    </row>
    <row r="336" spans="2:6" ht="15" customHeight="1" x14ac:dyDescent="0.25">
      <c r="B336" s="264" t="s">
        <v>1085</v>
      </c>
      <c r="C336" s="264" t="s">
        <v>1086</v>
      </c>
      <c r="D336" s="264" t="s">
        <v>432</v>
      </c>
      <c r="E336" s="264">
        <v>49</v>
      </c>
      <c r="F336" s="265">
        <v>1080.949152542373</v>
      </c>
    </row>
    <row r="337" spans="2:6" ht="15" customHeight="1" x14ac:dyDescent="0.25">
      <c r="B337" s="264" t="s">
        <v>1087</v>
      </c>
      <c r="C337" s="264" t="s">
        <v>1088</v>
      </c>
      <c r="D337" s="264" t="s">
        <v>432</v>
      </c>
      <c r="E337" s="264">
        <v>2</v>
      </c>
      <c r="F337" s="265">
        <v>170.08474576271186</v>
      </c>
    </row>
    <row r="338" spans="2:6" ht="15" customHeight="1" x14ac:dyDescent="0.25">
      <c r="B338" s="264" t="s">
        <v>1089</v>
      </c>
      <c r="C338" s="264" t="s">
        <v>1090</v>
      </c>
      <c r="D338" s="264" t="s">
        <v>432</v>
      </c>
      <c r="E338" s="264">
        <v>20</v>
      </c>
      <c r="F338" s="265">
        <v>17200</v>
      </c>
    </row>
    <row r="339" spans="2:6" ht="15" customHeight="1" x14ac:dyDescent="0.25">
      <c r="B339" s="264" t="s">
        <v>1091</v>
      </c>
      <c r="C339" s="264" t="s">
        <v>1092</v>
      </c>
      <c r="D339" s="264" t="s">
        <v>432</v>
      </c>
      <c r="E339" s="264">
        <v>3</v>
      </c>
      <c r="F339" s="265">
        <v>978.81355932203394</v>
      </c>
    </row>
    <row r="340" spans="2:6" ht="15" customHeight="1" x14ac:dyDescent="0.25">
      <c r="B340" s="264" t="s">
        <v>1093</v>
      </c>
      <c r="C340" s="264" t="s">
        <v>1094</v>
      </c>
      <c r="D340" s="264" t="s">
        <v>432</v>
      </c>
      <c r="E340" s="264">
        <v>191</v>
      </c>
      <c r="F340" s="265">
        <v>16380.677966101697</v>
      </c>
    </row>
    <row r="341" spans="2:6" ht="15" customHeight="1" x14ac:dyDescent="0.25">
      <c r="B341" s="264" t="s">
        <v>1095</v>
      </c>
      <c r="C341" s="264" t="s">
        <v>1096</v>
      </c>
      <c r="D341" s="264" t="s">
        <v>432</v>
      </c>
      <c r="E341" s="264">
        <v>192</v>
      </c>
      <c r="F341" s="265">
        <v>2310.5084745762715</v>
      </c>
    </row>
    <row r="342" spans="2:6" ht="15" customHeight="1" x14ac:dyDescent="0.25">
      <c r="B342" s="264" t="s">
        <v>1097</v>
      </c>
      <c r="C342" s="264" t="s">
        <v>1098</v>
      </c>
      <c r="D342" s="264" t="s">
        <v>432</v>
      </c>
      <c r="E342" s="264">
        <v>50</v>
      </c>
      <c r="F342" s="265">
        <v>989.83050847457628</v>
      </c>
    </row>
    <row r="343" spans="2:6" ht="15" customHeight="1" x14ac:dyDescent="0.25">
      <c r="B343" s="264" t="s">
        <v>1099</v>
      </c>
      <c r="C343" s="264" t="s">
        <v>1100</v>
      </c>
      <c r="D343" s="264" t="s">
        <v>432</v>
      </c>
      <c r="E343" s="264">
        <v>15</v>
      </c>
      <c r="F343" s="265">
        <v>332.66949152542378</v>
      </c>
    </row>
    <row r="344" spans="2:6" ht="15" customHeight="1" x14ac:dyDescent="0.25">
      <c r="B344" s="264" t="s">
        <v>1101</v>
      </c>
      <c r="C344" s="264" t="s">
        <v>1102</v>
      </c>
      <c r="D344" s="264" t="s">
        <v>432</v>
      </c>
      <c r="E344" s="264">
        <v>20</v>
      </c>
      <c r="F344" s="265">
        <v>175</v>
      </c>
    </row>
    <row r="345" spans="2:6" ht="15" customHeight="1" x14ac:dyDescent="0.25">
      <c r="B345" s="264" t="s">
        <v>1103</v>
      </c>
      <c r="C345" s="264" t="s">
        <v>1104</v>
      </c>
      <c r="D345" s="264" t="s">
        <v>432</v>
      </c>
      <c r="E345" s="264">
        <v>4</v>
      </c>
      <c r="F345" s="265">
        <v>5452.4406779661022</v>
      </c>
    </row>
    <row r="346" spans="2:6" ht="15" customHeight="1" x14ac:dyDescent="0.25">
      <c r="B346" s="264" t="s">
        <v>1105</v>
      </c>
      <c r="C346" s="264" t="s">
        <v>1106</v>
      </c>
      <c r="D346" s="264" t="s">
        <v>432</v>
      </c>
      <c r="E346" s="264">
        <v>20</v>
      </c>
      <c r="F346" s="265">
        <v>983.05084745762713</v>
      </c>
    </row>
    <row r="347" spans="2:6" ht="15" customHeight="1" x14ac:dyDescent="0.25">
      <c r="B347" s="264" t="s">
        <v>1107</v>
      </c>
      <c r="C347" s="264" t="s">
        <v>1108</v>
      </c>
      <c r="D347" s="264" t="s">
        <v>432</v>
      </c>
      <c r="E347" s="264">
        <v>28</v>
      </c>
      <c r="F347" s="265">
        <v>830.50847457627128</v>
      </c>
    </row>
    <row r="348" spans="2:6" ht="15" customHeight="1" x14ac:dyDescent="0.25">
      <c r="B348" s="264" t="s">
        <v>1109</v>
      </c>
      <c r="C348" s="264" t="s">
        <v>1110</v>
      </c>
      <c r="D348" s="264" t="s">
        <v>432</v>
      </c>
      <c r="E348" s="264">
        <v>10</v>
      </c>
      <c r="F348" s="265">
        <v>2850</v>
      </c>
    </row>
    <row r="349" spans="2:6" ht="15" customHeight="1" x14ac:dyDescent="0.25">
      <c r="B349" s="264" t="s">
        <v>1111</v>
      </c>
      <c r="C349" s="264" t="s">
        <v>1112</v>
      </c>
      <c r="D349" s="264" t="s">
        <v>432</v>
      </c>
      <c r="E349" s="264">
        <v>10</v>
      </c>
      <c r="F349" s="265">
        <v>4110.1694915254238</v>
      </c>
    </row>
    <row r="350" spans="2:6" ht="15" customHeight="1" x14ac:dyDescent="0.25">
      <c r="B350" s="264" t="s">
        <v>1113</v>
      </c>
      <c r="C350" s="264" t="s">
        <v>1114</v>
      </c>
      <c r="D350" s="264" t="s">
        <v>432</v>
      </c>
      <c r="E350" s="264">
        <v>29</v>
      </c>
      <c r="F350" s="265">
        <v>21233.898305084746</v>
      </c>
    </row>
    <row r="351" spans="2:6" ht="15" customHeight="1" x14ac:dyDescent="0.25">
      <c r="B351" s="264" t="s">
        <v>1115</v>
      </c>
      <c r="C351" s="264" t="s">
        <v>1116</v>
      </c>
      <c r="D351" s="264" t="s">
        <v>432</v>
      </c>
      <c r="E351" s="264">
        <v>69</v>
      </c>
      <c r="F351" s="265">
        <v>3800.8474576271187</v>
      </c>
    </row>
    <row r="352" spans="2:6" ht="15" customHeight="1" x14ac:dyDescent="0.25">
      <c r="B352" s="264" t="s">
        <v>1117</v>
      </c>
      <c r="C352" s="264" t="s">
        <v>1118</v>
      </c>
      <c r="D352" s="264" t="s">
        <v>432</v>
      </c>
      <c r="E352" s="264">
        <v>4</v>
      </c>
      <c r="F352" s="265">
        <v>322.03389830508479</v>
      </c>
    </row>
    <row r="353" spans="2:6" ht="15" customHeight="1" x14ac:dyDescent="0.25">
      <c r="B353" s="264" t="s">
        <v>1119</v>
      </c>
      <c r="C353" s="264" t="s">
        <v>1120</v>
      </c>
      <c r="D353" s="264" t="s">
        <v>432</v>
      </c>
      <c r="E353" s="264">
        <v>79</v>
      </c>
      <c r="F353" s="265">
        <v>51350</v>
      </c>
    </row>
    <row r="354" spans="2:6" ht="15" customHeight="1" x14ac:dyDescent="0.25">
      <c r="B354" s="264" t="s">
        <v>1121</v>
      </c>
      <c r="C354" s="264" t="s">
        <v>1122</v>
      </c>
      <c r="D354" s="264" t="s">
        <v>432</v>
      </c>
      <c r="E354" s="264">
        <v>14</v>
      </c>
      <c r="F354" s="265">
        <v>6501.6949152542375</v>
      </c>
    </row>
    <row r="355" spans="2:6" ht="15" customHeight="1" x14ac:dyDescent="0.25">
      <c r="B355" s="264" t="s">
        <v>1123</v>
      </c>
      <c r="C355" s="264" t="s">
        <v>1124</v>
      </c>
      <c r="D355" s="264" t="s">
        <v>432</v>
      </c>
      <c r="E355" s="264">
        <v>19</v>
      </c>
      <c r="F355" s="265">
        <v>966.10169491525426</v>
      </c>
    </row>
    <row r="356" spans="2:6" ht="15" customHeight="1" x14ac:dyDescent="0.25">
      <c r="B356" s="264" t="s">
        <v>1125</v>
      </c>
      <c r="C356" s="264" t="s">
        <v>1126</v>
      </c>
      <c r="D356" s="264" t="s">
        <v>432</v>
      </c>
      <c r="E356" s="264">
        <v>3</v>
      </c>
      <c r="F356" s="265">
        <v>1144.0677966101696</v>
      </c>
    </row>
    <row r="357" spans="2:6" ht="15" customHeight="1" x14ac:dyDescent="0.25">
      <c r="B357" s="264" t="s">
        <v>1127</v>
      </c>
      <c r="C357" s="264" t="s">
        <v>1128</v>
      </c>
      <c r="D357" s="264" t="s">
        <v>432</v>
      </c>
      <c r="E357" s="264">
        <v>10</v>
      </c>
      <c r="F357" s="265">
        <v>4410</v>
      </c>
    </row>
    <row r="358" spans="2:6" ht="15" customHeight="1" x14ac:dyDescent="0.25">
      <c r="B358" s="264" t="s">
        <v>1129</v>
      </c>
      <c r="C358" s="264" t="s">
        <v>1130</v>
      </c>
      <c r="D358" s="264" t="s">
        <v>432</v>
      </c>
      <c r="E358" s="264">
        <v>1</v>
      </c>
      <c r="F358" s="265">
        <v>169.49152542372883</v>
      </c>
    </row>
    <row r="359" spans="2:6" ht="15" customHeight="1" x14ac:dyDescent="0.25">
      <c r="B359" s="264" t="s">
        <v>1131</v>
      </c>
      <c r="C359" s="264" t="s">
        <v>1132</v>
      </c>
      <c r="D359" s="264" t="s">
        <v>432</v>
      </c>
      <c r="E359" s="264">
        <v>1</v>
      </c>
      <c r="F359" s="265">
        <v>169.49152542372883</v>
      </c>
    </row>
    <row r="360" spans="2:6" ht="15" customHeight="1" x14ac:dyDescent="0.25">
      <c r="B360" s="264" t="s">
        <v>1133</v>
      </c>
      <c r="C360" s="264" t="s">
        <v>1134</v>
      </c>
      <c r="D360" s="264" t="s">
        <v>432</v>
      </c>
      <c r="E360" s="264">
        <v>350</v>
      </c>
      <c r="F360" s="265">
        <v>444.5</v>
      </c>
    </row>
    <row r="361" spans="2:6" ht="15" customHeight="1" x14ac:dyDescent="0.25">
      <c r="B361" s="264" t="s">
        <v>1135</v>
      </c>
      <c r="C361" s="264" t="s">
        <v>1136</v>
      </c>
      <c r="D361" s="264" t="s">
        <v>432</v>
      </c>
      <c r="E361" s="264">
        <v>475</v>
      </c>
      <c r="F361" s="265">
        <v>684</v>
      </c>
    </row>
    <row r="362" spans="2:6" ht="15" customHeight="1" x14ac:dyDescent="0.25">
      <c r="B362" s="264" t="s">
        <v>1137</v>
      </c>
      <c r="C362" s="264" t="s">
        <v>1138</v>
      </c>
      <c r="D362" s="264" t="s">
        <v>432</v>
      </c>
      <c r="E362" s="264">
        <v>3</v>
      </c>
      <c r="F362" s="265">
        <v>1016.949152542373</v>
      </c>
    </row>
    <row r="363" spans="2:6" ht="15" customHeight="1" x14ac:dyDescent="0.25">
      <c r="B363" s="264" t="s">
        <v>1139</v>
      </c>
      <c r="C363" s="264" t="s">
        <v>1140</v>
      </c>
      <c r="D363" s="264" t="s">
        <v>432</v>
      </c>
      <c r="E363" s="264">
        <v>16</v>
      </c>
      <c r="F363" s="265">
        <v>4800</v>
      </c>
    </row>
    <row r="364" spans="2:6" ht="15" customHeight="1" x14ac:dyDescent="0.25">
      <c r="B364" s="264" t="s">
        <v>1141</v>
      </c>
      <c r="C364" s="264" t="s">
        <v>1142</v>
      </c>
      <c r="D364" s="264" t="s">
        <v>432</v>
      </c>
      <c r="E364" s="264">
        <v>22</v>
      </c>
      <c r="F364" s="265">
        <v>18350.237288135595</v>
      </c>
    </row>
    <row r="365" spans="2:6" ht="15" customHeight="1" x14ac:dyDescent="0.25">
      <c r="B365" s="264" t="s">
        <v>1143</v>
      </c>
      <c r="C365" s="264" t="s">
        <v>1144</v>
      </c>
      <c r="D365" s="264" t="s">
        <v>432</v>
      </c>
      <c r="E365" s="264">
        <v>10</v>
      </c>
      <c r="F365" s="265">
        <v>95850</v>
      </c>
    </row>
    <row r="366" spans="2:6" ht="15" customHeight="1" x14ac:dyDescent="0.25">
      <c r="B366" s="264" t="s">
        <v>1145</v>
      </c>
      <c r="C366" s="264" t="s">
        <v>1146</v>
      </c>
      <c r="D366" s="264" t="s">
        <v>432</v>
      </c>
      <c r="E366" s="264">
        <v>3</v>
      </c>
      <c r="F366" s="265">
        <v>56430</v>
      </c>
    </row>
    <row r="367" spans="2:6" ht="15" customHeight="1" x14ac:dyDescent="0.25">
      <c r="B367" s="264" t="s">
        <v>1147</v>
      </c>
      <c r="C367" s="264" t="s">
        <v>1148</v>
      </c>
      <c r="D367" s="264" t="s">
        <v>432</v>
      </c>
      <c r="E367" s="264">
        <v>4</v>
      </c>
      <c r="F367" s="265">
        <v>304100</v>
      </c>
    </row>
    <row r="368" spans="2:6" ht="15" customHeight="1" x14ac:dyDescent="0.25">
      <c r="B368" s="264" t="s">
        <v>1149</v>
      </c>
      <c r="C368" s="264" t="s">
        <v>1150</v>
      </c>
      <c r="D368" s="264" t="s">
        <v>432</v>
      </c>
      <c r="E368" s="264">
        <v>21</v>
      </c>
      <c r="F368" s="265">
        <v>141330</v>
      </c>
    </row>
    <row r="369" spans="2:6" ht="15" customHeight="1" x14ac:dyDescent="0.25">
      <c r="B369" s="264" t="s">
        <v>1151</v>
      </c>
      <c r="C369" s="264" t="s">
        <v>1152</v>
      </c>
      <c r="D369" s="264" t="s">
        <v>432</v>
      </c>
      <c r="E369" s="264">
        <v>1</v>
      </c>
      <c r="F369" s="265">
        <v>1101.6949152542375</v>
      </c>
    </row>
    <row r="370" spans="2:6" ht="15" customHeight="1" x14ac:dyDescent="0.25">
      <c r="B370" s="264" t="s">
        <v>1153</v>
      </c>
      <c r="C370" s="264" t="s">
        <v>1154</v>
      </c>
      <c r="D370" s="264" t="s">
        <v>432</v>
      </c>
      <c r="E370" s="264">
        <v>3</v>
      </c>
      <c r="F370" s="265">
        <v>15254.237288135593</v>
      </c>
    </row>
    <row r="371" spans="2:6" ht="15" customHeight="1" x14ac:dyDescent="0.25">
      <c r="B371" s="264" t="s">
        <v>1155</v>
      </c>
      <c r="C371" s="264" t="s">
        <v>1156</v>
      </c>
      <c r="D371" s="264" t="s">
        <v>432</v>
      </c>
      <c r="E371" s="264">
        <v>6</v>
      </c>
      <c r="F371" s="265">
        <v>7200</v>
      </c>
    </row>
    <row r="372" spans="2:6" ht="15" customHeight="1" x14ac:dyDescent="0.25">
      <c r="B372" s="264" t="s">
        <v>1157</v>
      </c>
      <c r="C372" s="264" t="s">
        <v>1158</v>
      </c>
      <c r="D372" s="264" t="s">
        <v>432</v>
      </c>
      <c r="E372" s="264">
        <v>1</v>
      </c>
      <c r="F372" s="265">
        <v>169.49152542372883</v>
      </c>
    </row>
    <row r="373" spans="2:6" ht="15" customHeight="1" x14ac:dyDescent="0.25">
      <c r="B373" s="264" t="s">
        <v>1159</v>
      </c>
      <c r="C373" s="264" t="s">
        <v>1160</v>
      </c>
      <c r="D373" s="264" t="s">
        <v>432</v>
      </c>
      <c r="E373" s="264">
        <v>21</v>
      </c>
      <c r="F373" s="265">
        <v>67769.313559322036</v>
      </c>
    </row>
    <row r="374" spans="2:6" ht="15" customHeight="1" x14ac:dyDescent="0.25">
      <c r="B374" s="264" t="s">
        <v>1161</v>
      </c>
      <c r="C374" s="264" t="s">
        <v>1162</v>
      </c>
      <c r="D374" s="264" t="s">
        <v>432</v>
      </c>
      <c r="E374" s="264">
        <v>41</v>
      </c>
      <c r="F374" s="265">
        <v>15387.406779661018</v>
      </c>
    </row>
    <row r="375" spans="2:6" ht="15" customHeight="1" x14ac:dyDescent="0.25">
      <c r="B375" s="264" t="s">
        <v>1163</v>
      </c>
      <c r="C375" s="264" t="s">
        <v>1164</v>
      </c>
      <c r="D375" s="264" t="s">
        <v>432</v>
      </c>
      <c r="E375" s="264">
        <v>1</v>
      </c>
      <c r="F375" s="265">
        <v>54576.271186440681</v>
      </c>
    </row>
    <row r="376" spans="2:6" ht="15" customHeight="1" x14ac:dyDescent="0.25">
      <c r="B376" s="264" t="s">
        <v>1165</v>
      </c>
      <c r="C376" s="264" t="s">
        <v>1166</v>
      </c>
      <c r="D376" s="264" t="s">
        <v>432</v>
      </c>
      <c r="E376" s="264">
        <v>27</v>
      </c>
      <c r="F376" s="265">
        <v>9369</v>
      </c>
    </row>
    <row r="377" spans="2:6" ht="15" customHeight="1" x14ac:dyDescent="0.25">
      <c r="B377" s="264" t="s">
        <v>1167</v>
      </c>
      <c r="C377" s="264" t="s">
        <v>1168</v>
      </c>
      <c r="D377" s="264" t="s">
        <v>432</v>
      </c>
      <c r="E377" s="264">
        <v>10</v>
      </c>
      <c r="F377" s="265">
        <v>7474.5762711864409</v>
      </c>
    </row>
    <row r="378" spans="2:6" ht="15" customHeight="1" x14ac:dyDescent="0.25">
      <c r="B378" s="264" t="s">
        <v>1169</v>
      </c>
      <c r="C378" s="264" t="s">
        <v>1170</v>
      </c>
      <c r="D378" s="264" t="s">
        <v>432</v>
      </c>
      <c r="E378" s="264">
        <v>4990</v>
      </c>
      <c r="F378" s="265">
        <v>187125</v>
      </c>
    </row>
    <row r="379" spans="2:6" ht="15" customHeight="1" x14ac:dyDescent="0.25">
      <c r="B379" s="264" t="s">
        <v>1171</v>
      </c>
      <c r="C379" s="264" t="s">
        <v>1172</v>
      </c>
      <c r="D379" s="264" t="s">
        <v>432</v>
      </c>
      <c r="E379" s="264">
        <v>87</v>
      </c>
      <c r="F379" s="265">
        <v>515.90677966101691</v>
      </c>
    </row>
    <row r="380" spans="2:6" ht="15" customHeight="1" x14ac:dyDescent="0.25">
      <c r="B380" s="264" t="s">
        <v>1173</v>
      </c>
      <c r="C380" s="264" t="s">
        <v>1174</v>
      </c>
      <c r="D380" s="264" t="s">
        <v>432</v>
      </c>
      <c r="E380" s="264">
        <v>30</v>
      </c>
      <c r="F380" s="265">
        <v>226.52542372881359</v>
      </c>
    </row>
    <row r="381" spans="2:6" ht="15" customHeight="1" x14ac:dyDescent="0.25">
      <c r="B381" s="264" t="s">
        <v>1175</v>
      </c>
      <c r="C381" s="264" t="s">
        <v>1176</v>
      </c>
      <c r="D381" s="264" t="s">
        <v>432</v>
      </c>
      <c r="E381" s="264">
        <v>1</v>
      </c>
      <c r="F381" s="265">
        <v>165.21186440677965</v>
      </c>
    </row>
    <row r="382" spans="2:6" ht="15" customHeight="1" x14ac:dyDescent="0.25">
      <c r="B382" s="264" t="s">
        <v>1177</v>
      </c>
      <c r="C382" s="264" t="s">
        <v>1178</v>
      </c>
      <c r="D382" s="264" t="s">
        <v>432</v>
      </c>
      <c r="E382" s="264">
        <v>1</v>
      </c>
      <c r="F382" s="265">
        <v>74</v>
      </c>
    </row>
    <row r="383" spans="2:6" ht="15" customHeight="1" x14ac:dyDescent="0.25">
      <c r="B383" s="264" t="s">
        <v>1179</v>
      </c>
      <c r="C383" s="264" t="s">
        <v>1180</v>
      </c>
      <c r="D383" s="264" t="s">
        <v>432</v>
      </c>
      <c r="E383" s="264">
        <v>20</v>
      </c>
      <c r="F383" s="265">
        <v>67.79661016949153</v>
      </c>
    </row>
    <row r="384" spans="2:6" ht="15" customHeight="1" x14ac:dyDescent="0.25">
      <c r="B384" s="264" t="s">
        <v>1181</v>
      </c>
      <c r="C384" s="264" t="s">
        <v>1182</v>
      </c>
      <c r="D384" s="264" t="s">
        <v>432</v>
      </c>
      <c r="E384" s="264">
        <v>3</v>
      </c>
      <c r="F384" s="265">
        <v>47384.974576271183</v>
      </c>
    </row>
    <row r="385" spans="2:6" ht="15" customHeight="1" x14ac:dyDescent="0.25">
      <c r="B385" s="264" t="s">
        <v>1183</v>
      </c>
      <c r="C385" s="264" t="s">
        <v>1184</v>
      </c>
      <c r="D385" s="264" t="s">
        <v>432</v>
      </c>
      <c r="E385" s="264">
        <v>3</v>
      </c>
      <c r="F385" s="265">
        <v>3432.2033898305085</v>
      </c>
    </row>
    <row r="386" spans="2:6" ht="15" customHeight="1" x14ac:dyDescent="0.25">
      <c r="B386" s="264" t="s">
        <v>1185</v>
      </c>
      <c r="C386" s="264" t="s">
        <v>1186</v>
      </c>
      <c r="D386" s="264" t="s">
        <v>432</v>
      </c>
      <c r="E386" s="264">
        <v>0</v>
      </c>
      <c r="F386" s="265">
        <v>0</v>
      </c>
    </row>
    <row r="387" spans="2:6" ht="15" customHeight="1" x14ac:dyDescent="0.25">
      <c r="B387" s="264" t="s">
        <v>1187</v>
      </c>
      <c r="C387" s="264" t="s">
        <v>1188</v>
      </c>
      <c r="D387" s="264" t="s">
        <v>432</v>
      </c>
      <c r="E387" s="264">
        <v>2</v>
      </c>
      <c r="F387" s="265">
        <v>15508.474576271186</v>
      </c>
    </row>
    <row r="388" spans="2:6" ht="15" customHeight="1" x14ac:dyDescent="0.25">
      <c r="B388" s="264" t="s">
        <v>1189</v>
      </c>
      <c r="C388" s="264" t="s">
        <v>1190</v>
      </c>
      <c r="D388" s="264" t="s">
        <v>432</v>
      </c>
      <c r="E388" s="264">
        <v>3</v>
      </c>
      <c r="F388" s="265">
        <v>750</v>
      </c>
    </row>
    <row r="389" spans="2:6" ht="15" customHeight="1" x14ac:dyDescent="0.25">
      <c r="B389" s="264" t="s">
        <v>1191</v>
      </c>
      <c r="C389" s="264" t="s">
        <v>1192</v>
      </c>
      <c r="D389" s="264" t="s">
        <v>432</v>
      </c>
      <c r="E389" s="264">
        <v>2</v>
      </c>
      <c r="F389" s="265">
        <v>306.66101694915255</v>
      </c>
    </row>
    <row r="390" spans="2:6" ht="15" customHeight="1" x14ac:dyDescent="0.25">
      <c r="B390" s="264" t="s">
        <v>1193</v>
      </c>
      <c r="C390" s="264" t="s">
        <v>1194</v>
      </c>
      <c r="D390" s="264" t="s">
        <v>432</v>
      </c>
      <c r="E390" s="264">
        <v>900</v>
      </c>
      <c r="F390" s="265">
        <v>7956</v>
      </c>
    </row>
    <row r="391" spans="2:6" ht="15" customHeight="1" x14ac:dyDescent="0.25">
      <c r="B391" s="264" t="s">
        <v>1195</v>
      </c>
      <c r="C391" s="264" t="s">
        <v>1196</v>
      </c>
      <c r="D391" s="264" t="s">
        <v>432</v>
      </c>
      <c r="E391" s="264">
        <v>7</v>
      </c>
      <c r="F391" s="265">
        <v>2076.2711864406779</v>
      </c>
    </row>
    <row r="392" spans="2:6" ht="15" customHeight="1" x14ac:dyDescent="0.25">
      <c r="B392" s="264" t="s">
        <v>1197</v>
      </c>
      <c r="C392" s="264" t="s">
        <v>1198</v>
      </c>
      <c r="D392" s="264" t="s">
        <v>432</v>
      </c>
      <c r="E392" s="264">
        <v>22</v>
      </c>
      <c r="F392" s="265">
        <v>1864.406779661017</v>
      </c>
    </row>
    <row r="393" spans="2:6" ht="15" customHeight="1" x14ac:dyDescent="0.25">
      <c r="B393" s="264" t="s">
        <v>1199</v>
      </c>
      <c r="C393" s="264" t="s">
        <v>1200</v>
      </c>
      <c r="D393" s="264" t="s">
        <v>432</v>
      </c>
      <c r="E393" s="264">
        <v>10</v>
      </c>
      <c r="F393" s="265">
        <v>1271.1864406779662</v>
      </c>
    </row>
    <row r="394" spans="2:6" ht="15" customHeight="1" x14ac:dyDescent="0.25">
      <c r="B394" s="264" t="s">
        <v>1201</v>
      </c>
      <c r="C394" s="264" t="s">
        <v>1202</v>
      </c>
      <c r="D394" s="264" t="s">
        <v>432</v>
      </c>
      <c r="E394" s="264">
        <v>8</v>
      </c>
      <c r="F394" s="265">
        <v>2440.6779661016949</v>
      </c>
    </row>
    <row r="395" spans="2:6" ht="15" customHeight="1" x14ac:dyDescent="0.25">
      <c r="B395" s="264" t="s">
        <v>1203</v>
      </c>
      <c r="C395" s="264" t="s">
        <v>1204</v>
      </c>
      <c r="D395" s="264" t="s">
        <v>432</v>
      </c>
      <c r="E395" s="264">
        <v>9</v>
      </c>
      <c r="F395" s="265">
        <v>2593.2203389830511</v>
      </c>
    </row>
    <row r="396" spans="2:6" ht="15" customHeight="1" x14ac:dyDescent="0.25">
      <c r="B396" s="264" t="s">
        <v>1205</v>
      </c>
      <c r="C396" s="264" t="s">
        <v>1206</v>
      </c>
      <c r="D396" s="264" t="s">
        <v>432</v>
      </c>
      <c r="E396" s="264">
        <v>13</v>
      </c>
      <c r="F396" s="265">
        <v>1224.4661016949153</v>
      </c>
    </row>
    <row r="397" spans="2:6" ht="15" customHeight="1" x14ac:dyDescent="0.25">
      <c r="B397" s="264" t="s">
        <v>1207</v>
      </c>
      <c r="C397" s="264" t="s">
        <v>1208</v>
      </c>
      <c r="D397" s="264" t="s">
        <v>432</v>
      </c>
      <c r="E397" s="264">
        <v>6</v>
      </c>
      <c r="F397" s="265">
        <v>610.16949152542372</v>
      </c>
    </row>
    <row r="398" spans="2:6" ht="15" customHeight="1" x14ac:dyDescent="0.25">
      <c r="B398" s="264" t="s">
        <v>1209</v>
      </c>
      <c r="C398" s="264" t="s">
        <v>1210</v>
      </c>
      <c r="D398" s="264" t="s">
        <v>432</v>
      </c>
      <c r="E398" s="264">
        <v>9</v>
      </c>
      <c r="F398" s="265">
        <v>648.30508474576277</v>
      </c>
    </row>
    <row r="399" spans="2:6" ht="15" customHeight="1" x14ac:dyDescent="0.25">
      <c r="B399" s="264" t="s">
        <v>1211</v>
      </c>
      <c r="C399" s="264" t="s">
        <v>1212</v>
      </c>
      <c r="D399" s="264" t="s">
        <v>432</v>
      </c>
      <c r="E399" s="264">
        <v>13</v>
      </c>
      <c r="F399" s="265">
        <v>3305.0847457627119</v>
      </c>
    </row>
    <row r="400" spans="2:6" ht="15" customHeight="1" x14ac:dyDescent="0.25">
      <c r="B400" s="264" t="s">
        <v>1213</v>
      </c>
      <c r="C400" s="264" t="s">
        <v>1214</v>
      </c>
      <c r="D400" s="264" t="s">
        <v>432</v>
      </c>
      <c r="E400" s="264">
        <v>13</v>
      </c>
      <c r="F400" s="265">
        <v>3305.0847457627119</v>
      </c>
    </row>
    <row r="401" spans="2:6" ht="15" customHeight="1" x14ac:dyDescent="0.25">
      <c r="B401" s="264" t="s">
        <v>1215</v>
      </c>
      <c r="C401" s="264" t="s">
        <v>1216</v>
      </c>
      <c r="D401" s="264" t="s">
        <v>432</v>
      </c>
      <c r="E401" s="264">
        <v>3</v>
      </c>
      <c r="F401" s="265">
        <v>953.38983050847457</v>
      </c>
    </row>
    <row r="402" spans="2:6" ht="15" customHeight="1" x14ac:dyDescent="0.25">
      <c r="B402" s="264" t="s">
        <v>1217</v>
      </c>
      <c r="C402" s="264" t="s">
        <v>1218</v>
      </c>
      <c r="D402" s="264" t="s">
        <v>432</v>
      </c>
      <c r="E402" s="264">
        <v>8</v>
      </c>
      <c r="F402" s="265">
        <v>960</v>
      </c>
    </row>
    <row r="403" spans="2:6" ht="15" customHeight="1" x14ac:dyDescent="0.25">
      <c r="B403" s="264" t="s">
        <v>1219</v>
      </c>
      <c r="C403" s="264" t="s">
        <v>1220</v>
      </c>
      <c r="D403" s="264" t="s">
        <v>432</v>
      </c>
      <c r="E403" s="264">
        <v>6</v>
      </c>
      <c r="F403" s="265">
        <v>381.35593220338984</v>
      </c>
    </row>
    <row r="404" spans="2:6" ht="15" customHeight="1" x14ac:dyDescent="0.25">
      <c r="B404" s="264" t="s">
        <v>1221</v>
      </c>
      <c r="C404" s="264" t="s">
        <v>1222</v>
      </c>
      <c r="D404" s="264" t="s">
        <v>432</v>
      </c>
      <c r="E404" s="264">
        <v>36</v>
      </c>
      <c r="F404" s="265">
        <v>5040</v>
      </c>
    </row>
    <row r="405" spans="2:6" ht="15" customHeight="1" x14ac:dyDescent="0.25">
      <c r="B405" s="264" t="s">
        <v>1223</v>
      </c>
      <c r="C405" s="264" t="s">
        <v>1224</v>
      </c>
      <c r="D405" s="264" t="s">
        <v>432</v>
      </c>
      <c r="E405" s="264">
        <v>3</v>
      </c>
      <c r="F405" s="265">
        <v>1779.6610169491526</v>
      </c>
    </row>
    <row r="406" spans="2:6" ht="15" customHeight="1" x14ac:dyDescent="0.25">
      <c r="B406" s="264" t="s">
        <v>1225</v>
      </c>
      <c r="C406" s="264" t="s">
        <v>1226</v>
      </c>
      <c r="D406" s="264" t="s">
        <v>432</v>
      </c>
      <c r="E406" s="264">
        <v>70</v>
      </c>
      <c r="F406" s="265">
        <v>355.93220338983053</v>
      </c>
    </row>
    <row r="407" spans="2:6" ht="15" customHeight="1" x14ac:dyDescent="0.25">
      <c r="B407" s="264" t="s">
        <v>1227</v>
      </c>
      <c r="C407" s="264" t="s">
        <v>1228</v>
      </c>
      <c r="D407" s="264" t="s">
        <v>432</v>
      </c>
      <c r="E407" s="264">
        <v>11</v>
      </c>
      <c r="F407" s="265">
        <v>9.3220338983050848</v>
      </c>
    </row>
    <row r="408" spans="2:6" ht="15" customHeight="1" x14ac:dyDescent="0.25">
      <c r="B408" s="264" t="s">
        <v>1229</v>
      </c>
      <c r="C408" s="264" t="s">
        <v>1230</v>
      </c>
      <c r="D408" s="264" t="s">
        <v>432</v>
      </c>
      <c r="E408" s="264">
        <v>2</v>
      </c>
      <c r="F408" s="265">
        <v>4000</v>
      </c>
    </row>
    <row r="409" spans="2:6" ht="15" customHeight="1" x14ac:dyDescent="0.25">
      <c r="B409" s="264" t="s">
        <v>1231</v>
      </c>
      <c r="C409" s="264" t="s">
        <v>1232</v>
      </c>
      <c r="D409" s="264" t="s">
        <v>432</v>
      </c>
      <c r="E409" s="264">
        <v>4</v>
      </c>
      <c r="F409" s="265">
        <v>33.898305084745765</v>
      </c>
    </row>
    <row r="410" spans="2:6" ht="15" customHeight="1" x14ac:dyDescent="0.25">
      <c r="B410" s="264" t="s">
        <v>1233</v>
      </c>
      <c r="C410" s="264" t="s">
        <v>1234</v>
      </c>
      <c r="D410" s="264" t="s">
        <v>432</v>
      </c>
      <c r="E410" s="264">
        <v>21</v>
      </c>
      <c r="F410" s="265">
        <v>2669.4915254237289</v>
      </c>
    </row>
    <row r="411" spans="2:6" ht="15" customHeight="1" x14ac:dyDescent="0.25">
      <c r="B411" s="264" t="s">
        <v>1235</v>
      </c>
      <c r="C411" s="264" t="s">
        <v>1236</v>
      </c>
      <c r="D411" s="264" t="s">
        <v>432</v>
      </c>
      <c r="E411" s="264">
        <v>200</v>
      </c>
      <c r="F411" s="265">
        <v>338.98305084745766</v>
      </c>
    </row>
    <row r="412" spans="2:6" ht="15" customHeight="1" x14ac:dyDescent="0.25">
      <c r="B412" s="264" t="s">
        <v>1237</v>
      </c>
      <c r="C412" s="264" t="s">
        <v>1238</v>
      </c>
      <c r="D412" s="264" t="s">
        <v>432</v>
      </c>
      <c r="E412" s="264">
        <v>100</v>
      </c>
      <c r="F412" s="265">
        <v>84.745762711864415</v>
      </c>
    </row>
    <row r="413" spans="2:6" ht="15" customHeight="1" x14ac:dyDescent="0.25">
      <c r="B413" s="264" t="s">
        <v>1239</v>
      </c>
      <c r="C413" s="264" t="s">
        <v>1240</v>
      </c>
      <c r="D413" s="264" t="s">
        <v>432</v>
      </c>
      <c r="E413" s="264">
        <v>12</v>
      </c>
      <c r="F413" s="265">
        <v>661.01694915254245</v>
      </c>
    </row>
    <row r="414" spans="2:6" ht="15" customHeight="1" x14ac:dyDescent="0.25">
      <c r="B414" s="264" t="s">
        <v>1241</v>
      </c>
      <c r="C414" s="264" t="s">
        <v>1242</v>
      </c>
      <c r="D414" s="264" t="s">
        <v>432</v>
      </c>
      <c r="E414" s="264">
        <v>3</v>
      </c>
      <c r="F414" s="265">
        <v>2303.4152542372885</v>
      </c>
    </row>
    <row r="415" spans="2:6" ht="15" customHeight="1" x14ac:dyDescent="0.25">
      <c r="B415" s="264" t="s">
        <v>1243</v>
      </c>
      <c r="C415" s="264" t="s">
        <v>1244</v>
      </c>
      <c r="D415" s="264" t="s">
        <v>432</v>
      </c>
      <c r="E415" s="264">
        <v>13</v>
      </c>
      <c r="F415" s="265">
        <v>198.77118644067798</v>
      </c>
    </row>
    <row r="416" spans="2:6" ht="15" customHeight="1" x14ac:dyDescent="0.25">
      <c r="B416" s="264" t="s">
        <v>1245</v>
      </c>
      <c r="C416" s="264" t="s">
        <v>1246</v>
      </c>
      <c r="D416" s="264" t="s">
        <v>432</v>
      </c>
      <c r="E416" s="264">
        <v>13</v>
      </c>
      <c r="F416" s="265">
        <v>758.57627118644075</v>
      </c>
    </row>
    <row r="417" spans="2:6" ht="15" customHeight="1" x14ac:dyDescent="0.25">
      <c r="B417" s="264" t="s">
        <v>1247</v>
      </c>
      <c r="C417" s="264" t="s">
        <v>1248</v>
      </c>
      <c r="D417" s="264" t="s">
        <v>432</v>
      </c>
      <c r="E417" s="264">
        <v>4</v>
      </c>
      <c r="F417" s="265">
        <v>580</v>
      </c>
    </row>
    <row r="418" spans="2:6" ht="15" customHeight="1" x14ac:dyDescent="0.25">
      <c r="B418" s="264" t="s">
        <v>1249</v>
      </c>
      <c r="C418" s="264" t="s">
        <v>1250</v>
      </c>
      <c r="D418" s="264" t="s">
        <v>432</v>
      </c>
      <c r="E418" s="264">
        <v>2</v>
      </c>
      <c r="F418" s="265">
        <v>2076</v>
      </c>
    </row>
    <row r="419" spans="2:6" ht="15" customHeight="1" x14ac:dyDescent="0.25">
      <c r="B419" s="264" t="s">
        <v>1251</v>
      </c>
      <c r="C419" s="264" t="s">
        <v>1252</v>
      </c>
      <c r="D419" s="264" t="s">
        <v>432</v>
      </c>
      <c r="E419" s="264">
        <v>9</v>
      </c>
      <c r="F419" s="265">
        <v>351</v>
      </c>
    </row>
    <row r="420" spans="2:6" ht="15" customHeight="1" x14ac:dyDescent="0.25">
      <c r="B420" s="264" t="s">
        <v>1253</v>
      </c>
      <c r="C420" s="264" t="s">
        <v>1254</v>
      </c>
      <c r="D420" s="264" t="s">
        <v>432</v>
      </c>
      <c r="E420" s="264">
        <v>30</v>
      </c>
      <c r="F420" s="265">
        <v>854.10169491525426</v>
      </c>
    </row>
    <row r="421" spans="2:6" ht="15" customHeight="1" x14ac:dyDescent="0.25">
      <c r="B421" s="264" t="s">
        <v>1255</v>
      </c>
      <c r="C421" s="264" t="s">
        <v>1256</v>
      </c>
      <c r="D421" s="264" t="s">
        <v>432</v>
      </c>
      <c r="E421" s="264">
        <v>4</v>
      </c>
      <c r="F421" s="265">
        <v>728.81355932203394</v>
      </c>
    </row>
    <row r="422" spans="2:6" ht="15" customHeight="1" x14ac:dyDescent="0.25">
      <c r="B422" s="264" t="s">
        <v>1257</v>
      </c>
      <c r="C422" s="264" t="s">
        <v>1258</v>
      </c>
      <c r="D422" s="264" t="s">
        <v>432</v>
      </c>
      <c r="E422" s="264">
        <v>2</v>
      </c>
      <c r="F422" s="265">
        <v>2990</v>
      </c>
    </row>
    <row r="423" spans="2:6" ht="15" customHeight="1" x14ac:dyDescent="0.25">
      <c r="B423" s="264" t="s">
        <v>1259</v>
      </c>
      <c r="C423" s="264" t="s">
        <v>1260</v>
      </c>
      <c r="D423" s="264" t="s">
        <v>432</v>
      </c>
      <c r="E423" s="264">
        <v>1</v>
      </c>
      <c r="F423" s="265">
        <v>18305.084745762713</v>
      </c>
    </row>
    <row r="424" spans="2:6" ht="15" customHeight="1" x14ac:dyDescent="0.25">
      <c r="B424" s="264" t="s">
        <v>1261</v>
      </c>
      <c r="C424" s="264" t="s">
        <v>1262</v>
      </c>
      <c r="D424" s="264" t="s">
        <v>432</v>
      </c>
      <c r="E424" s="264">
        <v>6</v>
      </c>
      <c r="F424" s="265">
        <v>1740</v>
      </c>
    </row>
    <row r="425" spans="2:6" ht="15" customHeight="1" x14ac:dyDescent="0.25">
      <c r="B425" s="264" t="s">
        <v>1263</v>
      </c>
      <c r="C425" s="264" t="s">
        <v>1264</v>
      </c>
      <c r="D425" s="264" t="s">
        <v>432</v>
      </c>
      <c r="E425" s="264">
        <v>300</v>
      </c>
      <c r="F425" s="265">
        <v>16500</v>
      </c>
    </row>
    <row r="426" spans="2:6" ht="15" customHeight="1" x14ac:dyDescent="0.25">
      <c r="B426" s="264" t="s">
        <v>1265</v>
      </c>
      <c r="C426" s="264" t="s">
        <v>1266</v>
      </c>
      <c r="D426" s="264" t="s">
        <v>432</v>
      </c>
      <c r="E426" s="264">
        <v>20</v>
      </c>
      <c r="F426" s="265">
        <v>2880.0000000000005</v>
      </c>
    </row>
    <row r="427" spans="2:6" ht="15" customHeight="1" x14ac:dyDescent="0.25">
      <c r="B427" s="264" t="s">
        <v>1267</v>
      </c>
      <c r="C427" s="264" t="s">
        <v>1268</v>
      </c>
      <c r="D427" s="264" t="s">
        <v>432</v>
      </c>
      <c r="E427" s="264">
        <v>2</v>
      </c>
      <c r="F427" s="265">
        <v>526.5</v>
      </c>
    </row>
    <row r="428" spans="2:6" ht="15" customHeight="1" x14ac:dyDescent="0.25">
      <c r="B428" s="264" t="s">
        <v>1269</v>
      </c>
      <c r="C428" s="264" t="s">
        <v>1270</v>
      </c>
      <c r="D428" s="264" t="s">
        <v>432</v>
      </c>
      <c r="E428" s="264">
        <v>3</v>
      </c>
      <c r="F428" s="265">
        <v>4878.3050847457625</v>
      </c>
    </row>
    <row r="429" spans="2:6" ht="15" customHeight="1" x14ac:dyDescent="0.25">
      <c r="B429" s="264" t="s">
        <v>1271</v>
      </c>
      <c r="C429" s="264" t="s">
        <v>1272</v>
      </c>
      <c r="D429" s="264" t="s">
        <v>432</v>
      </c>
      <c r="E429" s="264">
        <v>25</v>
      </c>
      <c r="F429" s="265">
        <v>1650</v>
      </c>
    </row>
    <row r="430" spans="2:6" ht="15" customHeight="1" x14ac:dyDescent="0.25">
      <c r="B430" s="264" t="s">
        <v>1273</v>
      </c>
      <c r="C430" s="264" t="s">
        <v>1274</v>
      </c>
      <c r="D430" s="264" t="s">
        <v>432</v>
      </c>
      <c r="E430" s="264">
        <v>6</v>
      </c>
      <c r="F430" s="265">
        <v>647.39830508474574</v>
      </c>
    </row>
    <row r="431" spans="2:6" ht="15" customHeight="1" x14ac:dyDescent="0.25">
      <c r="B431" s="264" t="s">
        <v>1275</v>
      </c>
      <c r="C431" s="264" t="s">
        <v>1276</v>
      </c>
      <c r="D431" s="264" t="s">
        <v>432</v>
      </c>
      <c r="E431" s="264">
        <v>6</v>
      </c>
      <c r="F431" s="265">
        <v>2982.0000000000005</v>
      </c>
    </row>
    <row r="432" spans="2:6" ht="15" customHeight="1" x14ac:dyDescent="0.25">
      <c r="B432" s="264" t="s">
        <v>1277</v>
      </c>
      <c r="C432" s="264" t="s">
        <v>1278</v>
      </c>
      <c r="D432" s="264" t="s">
        <v>432</v>
      </c>
      <c r="E432" s="264">
        <v>10</v>
      </c>
      <c r="F432" s="265">
        <v>2090</v>
      </c>
    </row>
    <row r="433" spans="2:6" ht="15" customHeight="1" x14ac:dyDescent="0.25">
      <c r="B433" s="264" t="s">
        <v>1279</v>
      </c>
      <c r="C433" s="264" t="s">
        <v>1280</v>
      </c>
      <c r="D433" s="264" t="s">
        <v>432</v>
      </c>
      <c r="E433" s="264">
        <v>35</v>
      </c>
      <c r="F433" s="265">
        <v>15925</v>
      </c>
    </row>
    <row r="434" spans="2:6" ht="15" customHeight="1" x14ac:dyDescent="0.25">
      <c r="B434" s="264" t="s">
        <v>1281</v>
      </c>
      <c r="C434" s="264" t="s">
        <v>1282</v>
      </c>
      <c r="D434" s="264" t="s">
        <v>432</v>
      </c>
      <c r="E434" s="264">
        <v>2</v>
      </c>
      <c r="F434" s="265">
        <v>470.00000000000006</v>
      </c>
    </row>
    <row r="435" spans="2:6" ht="15" customHeight="1" x14ac:dyDescent="0.25">
      <c r="B435" s="264" t="s">
        <v>1283</v>
      </c>
      <c r="C435" s="264" t="s">
        <v>1284</v>
      </c>
      <c r="D435" s="264" t="s">
        <v>432</v>
      </c>
      <c r="E435" s="264">
        <v>1</v>
      </c>
      <c r="F435" s="265">
        <v>8710</v>
      </c>
    </row>
    <row r="436" spans="2:6" ht="15" customHeight="1" x14ac:dyDescent="0.25">
      <c r="B436" s="264" t="s">
        <v>1285</v>
      </c>
      <c r="C436" s="264" t="s">
        <v>1286</v>
      </c>
      <c r="D436" s="264" t="s">
        <v>432</v>
      </c>
      <c r="E436" s="264">
        <v>1</v>
      </c>
      <c r="F436" s="265">
        <v>465.00000000000006</v>
      </c>
    </row>
    <row r="437" spans="2:6" ht="15" customHeight="1" x14ac:dyDescent="0.25">
      <c r="B437" s="264" t="s">
        <v>1287</v>
      </c>
      <c r="C437" s="264" t="s">
        <v>1288</v>
      </c>
      <c r="D437" s="264" t="s">
        <v>432</v>
      </c>
      <c r="E437" s="264">
        <v>4</v>
      </c>
      <c r="F437" s="265">
        <v>100</v>
      </c>
    </row>
    <row r="438" spans="2:6" ht="15" customHeight="1" x14ac:dyDescent="0.25">
      <c r="B438" s="264" t="s">
        <v>1289</v>
      </c>
      <c r="C438" s="264" t="s">
        <v>1290</v>
      </c>
      <c r="D438" s="264" t="s">
        <v>432</v>
      </c>
      <c r="E438" s="264">
        <v>9</v>
      </c>
      <c r="F438" s="265">
        <v>43200</v>
      </c>
    </row>
    <row r="439" spans="2:6" ht="15" customHeight="1" x14ac:dyDescent="0.25">
      <c r="B439" s="264" t="s">
        <v>1291</v>
      </c>
      <c r="C439" s="264" t="s">
        <v>1292</v>
      </c>
      <c r="D439" s="264" t="s">
        <v>432</v>
      </c>
      <c r="E439" s="264">
        <v>1</v>
      </c>
      <c r="F439" s="265">
        <v>320.00000000000006</v>
      </c>
    </row>
    <row r="440" spans="2:6" ht="15" customHeight="1" x14ac:dyDescent="0.25">
      <c r="B440" s="264" t="s">
        <v>1293</v>
      </c>
      <c r="C440" s="264" t="s">
        <v>1294</v>
      </c>
      <c r="D440" s="264" t="s">
        <v>432</v>
      </c>
      <c r="E440" s="264">
        <v>16</v>
      </c>
      <c r="F440" s="265">
        <v>7929.2203389830511</v>
      </c>
    </row>
    <row r="441" spans="2:6" ht="15" customHeight="1" x14ac:dyDescent="0.25">
      <c r="B441" s="264" t="s">
        <v>1295</v>
      </c>
      <c r="C441" s="264" t="s">
        <v>1296</v>
      </c>
      <c r="D441" s="264" t="s">
        <v>432</v>
      </c>
      <c r="E441" s="264">
        <v>80</v>
      </c>
      <c r="F441" s="265">
        <v>79872.000000000015</v>
      </c>
    </row>
    <row r="442" spans="2:6" ht="15" customHeight="1" x14ac:dyDescent="0.25">
      <c r="B442" s="264" t="s">
        <v>1297</v>
      </c>
      <c r="C442" s="264" t="s">
        <v>1298</v>
      </c>
      <c r="D442" s="264" t="s">
        <v>432</v>
      </c>
      <c r="E442" s="264">
        <v>7</v>
      </c>
      <c r="F442" s="265">
        <v>11648</v>
      </c>
    </row>
    <row r="443" spans="2:6" ht="15" customHeight="1" x14ac:dyDescent="0.25">
      <c r="B443" s="264" t="s">
        <v>1299</v>
      </c>
      <c r="C443" s="264" t="s">
        <v>1300</v>
      </c>
      <c r="D443" s="264" t="s">
        <v>432</v>
      </c>
      <c r="E443" s="264">
        <v>68</v>
      </c>
      <c r="F443" s="265">
        <v>104012.9152542373</v>
      </c>
    </row>
    <row r="444" spans="2:6" ht="15" customHeight="1" x14ac:dyDescent="0.25">
      <c r="B444" s="264" t="s">
        <v>1301</v>
      </c>
      <c r="C444" s="264" t="s">
        <v>1302</v>
      </c>
      <c r="D444" s="264" t="s">
        <v>432</v>
      </c>
      <c r="E444" s="264">
        <v>1</v>
      </c>
      <c r="F444" s="265">
        <v>1688.6440677966102</v>
      </c>
    </row>
    <row r="445" spans="2:6" ht="15" customHeight="1" x14ac:dyDescent="0.25">
      <c r="B445" s="264" t="s">
        <v>1303</v>
      </c>
      <c r="C445" s="264" t="s">
        <v>1304</v>
      </c>
      <c r="D445" s="264" t="s">
        <v>432</v>
      </c>
      <c r="E445" s="264">
        <v>15</v>
      </c>
      <c r="F445" s="265">
        <v>15936</v>
      </c>
    </row>
    <row r="446" spans="2:6" ht="15" customHeight="1" x14ac:dyDescent="0.25">
      <c r="B446" s="264" t="s">
        <v>1305</v>
      </c>
      <c r="C446" s="264" t="s">
        <v>1306</v>
      </c>
      <c r="D446" s="264" t="s">
        <v>432</v>
      </c>
      <c r="E446" s="264">
        <v>22</v>
      </c>
      <c r="F446" s="265">
        <v>32678.389830508477</v>
      </c>
    </row>
    <row r="447" spans="2:6" ht="15" customHeight="1" x14ac:dyDescent="0.25">
      <c r="B447" s="264" t="s">
        <v>1307</v>
      </c>
      <c r="C447" s="264" t="s">
        <v>1308</v>
      </c>
      <c r="D447" s="264" t="s">
        <v>432</v>
      </c>
      <c r="E447" s="264">
        <v>2</v>
      </c>
      <c r="F447" s="265">
        <v>180.00000000000003</v>
      </c>
    </row>
    <row r="448" spans="2:6" ht="15" customHeight="1" x14ac:dyDescent="0.25">
      <c r="B448" s="264" t="s">
        <v>1309</v>
      </c>
      <c r="C448" s="264" t="s">
        <v>1310</v>
      </c>
      <c r="D448" s="264" t="s">
        <v>432</v>
      </c>
      <c r="E448" s="264">
        <v>13</v>
      </c>
      <c r="F448" s="265">
        <v>25542.398305084746</v>
      </c>
    </row>
    <row r="449" spans="2:6" ht="15" customHeight="1" x14ac:dyDescent="0.25">
      <c r="B449" s="264" t="s">
        <v>1311</v>
      </c>
      <c r="C449" s="264" t="s">
        <v>1312</v>
      </c>
      <c r="D449" s="264" t="s">
        <v>432</v>
      </c>
      <c r="E449" s="264">
        <v>12</v>
      </c>
      <c r="F449" s="265">
        <v>1680.0000000000002</v>
      </c>
    </row>
    <row r="450" spans="2:6" ht="15" customHeight="1" x14ac:dyDescent="0.25">
      <c r="B450" s="264" t="s">
        <v>1313</v>
      </c>
      <c r="C450" s="264" t="s">
        <v>1314</v>
      </c>
      <c r="D450" s="264" t="s">
        <v>432</v>
      </c>
      <c r="E450" s="264">
        <v>12</v>
      </c>
      <c r="F450" s="265">
        <v>1932.0000000000002</v>
      </c>
    </row>
    <row r="451" spans="2:6" ht="15" customHeight="1" x14ac:dyDescent="0.25">
      <c r="B451" s="264" t="s">
        <v>1315</v>
      </c>
      <c r="C451" s="264" t="s">
        <v>1316</v>
      </c>
      <c r="D451" s="264" t="s">
        <v>432</v>
      </c>
      <c r="E451" s="264">
        <v>8</v>
      </c>
      <c r="F451" s="265">
        <v>1152</v>
      </c>
    </row>
    <row r="452" spans="2:6" ht="15" customHeight="1" x14ac:dyDescent="0.25">
      <c r="B452" s="264" t="s">
        <v>1317</v>
      </c>
      <c r="C452" s="264" t="s">
        <v>1318</v>
      </c>
      <c r="D452" s="264" t="s">
        <v>432</v>
      </c>
      <c r="E452" s="264">
        <v>6</v>
      </c>
      <c r="F452" s="265">
        <v>1524</v>
      </c>
    </row>
    <row r="453" spans="2:6" ht="15" customHeight="1" x14ac:dyDescent="0.25">
      <c r="B453" s="264" t="s">
        <v>1319</v>
      </c>
      <c r="C453" s="264" t="s">
        <v>1320</v>
      </c>
      <c r="D453" s="264" t="s">
        <v>432</v>
      </c>
      <c r="E453" s="264">
        <v>11</v>
      </c>
      <c r="F453" s="265">
        <v>6523.0000000000009</v>
      </c>
    </row>
    <row r="454" spans="2:6" ht="15" customHeight="1" x14ac:dyDescent="0.25">
      <c r="B454" s="264" t="s">
        <v>1321</v>
      </c>
      <c r="C454" s="264" t="s">
        <v>1322</v>
      </c>
      <c r="D454" s="264" t="s">
        <v>432</v>
      </c>
      <c r="E454" s="264">
        <v>84</v>
      </c>
      <c r="F454" s="265">
        <v>4620.0000000000009</v>
      </c>
    </row>
    <row r="455" spans="2:6" ht="15" customHeight="1" x14ac:dyDescent="0.25">
      <c r="B455" s="264" t="s">
        <v>1323</v>
      </c>
      <c r="C455" s="264" t="s">
        <v>1324</v>
      </c>
      <c r="D455" s="264" t="s">
        <v>432</v>
      </c>
      <c r="E455" s="264">
        <v>82</v>
      </c>
      <c r="F455" s="265">
        <v>11890.000000000002</v>
      </c>
    </row>
    <row r="456" spans="2:6" ht="15" customHeight="1" x14ac:dyDescent="0.25">
      <c r="B456" s="264" t="s">
        <v>1325</v>
      </c>
      <c r="C456" s="264" t="s">
        <v>1326</v>
      </c>
      <c r="D456" s="264" t="s">
        <v>432</v>
      </c>
      <c r="E456" s="264">
        <v>360</v>
      </c>
      <c r="F456" s="265">
        <v>428.3983050847458</v>
      </c>
    </row>
    <row r="457" spans="2:6" ht="15" customHeight="1" x14ac:dyDescent="0.25">
      <c r="B457" s="264" t="s">
        <v>1327</v>
      </c>
      <c r="C457" s="264" t="s">
        <v>1328</v>
      </c>
      <c r="D457" s="264" t="s">
        <v>432</v>
      </c>
      <c r="E457" s="264">
        <v>100</v>
      </c>
      <c r="F457" s="265">
        <v>3900</v>
      </c>
    </row>
    <row r="458" spans="2:6" ht="15" customHeight="1" x14ac:dyDescent="0.25">
      <c r="B458" s="264" t="s">
        <v>1329</v>
      </c>
      <c r="C458" s="264" t="s">
        <v>1330</v>
      </c>
      <c r="D458" s="264" t="s">
        <v>432</v>
      </c>
      <c r="E458" s="264">
        <v>100</v>
      </c>
      <c r="F458" s="265">
        <v>4000</v>
      </c>
    </row>
    <row r="459" spans="2:6" ht="15" customHeight="1" x14ac:dyDescent="0.25">
      <c r="B459" s="264" t="s">
        <v>1331</v>
      </c>
      <c r="C459" s="264" t="s">
        <v>1332</v>
      </c>
      <c r="D459" s="264" t="s">
        <v>432</v>
      </c>
      <c r="E459" s="264">
        <v>1000</v>
      </c>
      <c r="F459" s="265">
        <v>4240</v>
      </c>
    </row>
    <row r="460" spans="2:6" ht="15" customHeight="1" x14ac:dyDescent="0.25">
      <c r="B460" s="264" t="s">
        <v>1333</v>
      </c>
      <c r="C460" s="264" t="s">
        <v>1334</v>
      </c>
      <c r="D460" s="264" t="s">
        <v>432</v>
      </c>
      <c r="E460" s="264">
        <v>50</v>
      </c>
      <c r="F460" s="265">
        <v>5100</v>
      </c>
    </row>
    <row r="461" spans="2:6" ht="15" customHeight="1" x14ac:dyDescent="0.25">
      <c r="B461" s="264" t="s">
        <v>1335</v>
      </c>
      <c r="C461" s="264" t="s">
        <v>1336</v>
      </c>
      <c r="D461" s="264" t="s">
        <v>432</v>
      </c>
      <c r="E461" s="264">
        <v>50</v>
      </c>
      <c r="F461" s="265">
        <v>1313.5000000000002</v>
      </c>
    </row>
    <row r="462" spans="2:6" ht="15" customHeight="1" x14ac:dyDescent="0.25">
      <c r="B462" s="264" t="s">
        <v>1337</v>
      </c>
      <c r="C462" s="264" t="s">
        <v>1338</v>
      </c>
      <c r="D462" s="264" t="s">
        <v>432</v>
      </c>
      <c r="E462" s="264">
        <v>50</v>
      </c>
      <c r="F462" s="265">
        <v>1525.5</v>
      </c>
    </row>
    <row r="463" spans="2:6" ht="15" customHeight="1" x14ac:dyDescent="0.25">
      <c r="B463" s="264" t="s">
        <v>1339</v>
      </c>
      <c r="C463" s="264" t="s">
        <v>1340</v>
      </c>
      <c r="D463" s="264" t="s">
        <v>432</v>
      </c>
      <c r="E463" s="264">
        <v>50</v>
      </c>
      <c r="F463" s="265">
        <v>678</v>
      </c>
    </row>
    <row r="464" spans="2:6" ht="15" customHeight="1" x14ac:dyDescent="0.25">
      <c r="B464" s="264" t="s">
        <v>1341</v>
      </c>
      <c r="C464" s="264" t="s">
        <v>1342</v>
      </c>
      <c r="D464" s="264" t="s">
        <v>432</v>
      </c>
      <c r="E464" s="264">
        <v>100</v>
      </c>
      <c r="F464" s="265">
        <v>678</v>
      </c>
    </row>
    <row r="465" spans="2:6" ht="15" customHeight="1" x14ac:dyDescent="0.25">
      <c r="B465" s="264" t="s">
        <v>1343</v>
      </c>
      <c r="C465" s="264" t="s">
        <v>1344</v>
      </c>
      <c r="D465" s="264" t="s">
        <v>432</v>
      </c>
      <c r="E465" s="264">
        <v>100</v>
      </c>
      <c r="F465" s="265">
        <v>636</v>
      </c>
    </row>
    <row r="466" spans="2:6" ht="15" customHeight="1" x14ac:dyDescent="0.25">
      <c r="B466" s="264" t="s">
        <v>1345</v>
      </c>
      <c r="C466" s="264" t="s">
        <v>1346</v>
      </c>
      <c r="D466" s="264" t="s">
        <v>432</v>
      </c>
      <c r="E466" s="264">
        <v>100</v>
      </c>
      <c r="F466" s="265">
        <v>678</v>
      </c>
    </row>
    <row r="467" spans="2:6" ht="15" customHeight="1" x14ac:dyDescent="0.25">
      <c r="B467" s="264" t="s">
        <v>1347</v>
      </c>
      <c r="C467" s="264" t="s">
        <v>1348</v>
      </c>
      <c r="D467" s="264" t="s">
        <v>432</v>
      </c>
      <c r="E467" s="264">
        <v>180</v>
      </c>
      <c r="F467" s="265">
        <v>534.60169491525426</v>
      </c>
    </row>
    <row r="468" spans="2:6" ht="15" customHeight="1" x14ac:dyDescent="0.25">
      <c r="B468" s="264" t="s">
        <v>1349</v>
      </c>
      <c r="C468" s="264" t="s">
        <v>1350</v>
      </c>
      <c r="D468" s="264" t="s">
        <v>432</v>
      </c>
      <c r="E468" s="264">
        <v>200</v>
      </c>
      <c r="F468" s="265">
        <v>704.00000000000011</v>
      </c>
    </row>
    <row r="469" spans="2:6" ht="15" customHeight="1" x14ac:dyDescent="0.25">
      <c r="B469" s="264" t="s">
        <v>1351</v>
      </c>
      <c r="C469" s="264" t="s">
        <v>1352</v>
      </c>
      <c r="D469" s="264" t="s">
        <v>432</v>
      </c>
      <c r="E469" s="264">
        <v>200</v>
      </c>
      <c r="F469" s="265">
        <v>662</v>
      </c>
    </row>
    <row r="470" spans="2:6" ht="15" customHeight="1" x14ac:dyDescent="0.25">
      <c r="B470" s="264" t="s">
        <v>1353</v>
      </c>
      <c r="C470" s="264" t="s">
        <v>1354</v>
      </c>
      <c r="D470" s="264" t="s">
        <v>432</v>
      </c>
      <c r="E470" s="264">
        <v>180</v>
      </c>
      <c r="F470" s="265">
        <v>565.20338983050851</v>
      </c>
    </row>
    <row r="471" spans="2:6" ht="15" customHeight="1" x14ac:dyDescent="0.25">
      <c r="B471" s="264" t="s">
        <v>1355</v>
      </c>
      <c r="C471" s="264" t="s">
        <v>1356</v>
      </c>
      <c r="D471" s="264" t="s">
        <v>432</v>
      </c>
      <c r="E471" s="264">
        <v>140</v>
      </c>
      <c r="F471" s="265">
        <v>249.20338983050848</v>
      </c>
    </row>
    <row r="472" spans="2:6" ht="15" customHeight="1" x14ac:dyDescent="0.25">
      <c r="B472" s="264" t="s">
        <v>1357</v>
      </c>
      <c r="C472" s="264" t="s">
        <v>1358</v>
      </c>
      <c r="D472" s="264" t="s">
        <v>432</v>
      </c>
      <c r="E472" s="264">
        <v>8</v>
      </c>
      <c r="F472" s="265">
        <v>29520</v>
      </c>
    </row>
    <row r="473" spans="2:6" ht="15" customHeight="1" x14ac:dyDescent="0.25">
      <c r="B473" s="264" t="s">
        <v>1359</v>
      </c>
      <c r="C473" s="264" t="s">
        <v>1360</v>
      </c>
      <c r="D473" s="264" t="s">
        <v>432</v>
      </c>
      <c r="E473" s="264">
        <v>22</v>
      </c>
      <c r="F473" s="265">
        <v>7634.0000000000009</v>
      </c>
    </row>
    <row r="474" spans="2:6" ht="15" customHeight="1" x14ac:dyDescent="0.25">
      <c r="B474" s="264" t="s">
        <v>1361</v>
      </c>
      <c r="C474" s="264" t="s">
        <v>1362</v>
      </c>
      <c r="D474" s="264" t="s">
        <v>432</v>
      </c>
      <c r="E474" s="264">
        <v>13</v>
      </c>
      <c r="F474" s="265">
        <v>4732</v>
      </c>
    </row>
    <row r="475" spans="2:6" ht="15" customHeight="1" x14ac:dyDescent="0.25">
      <c r="B475" s="264" t="s">
        <v>1363</v>
      </c>
      <c r="C475" s="264" t="s">
        <v>1364</v>
      </c>
      <c r="D475" s="264" t="s">
        <v>432</v>
      </c>
      <c r="E475" s="264">
        <v>100</v>
      </c>
      <c r="F475" s="265">
        <v>636</v>
      </c>
    </row>
    <row r="476" spans="2:6" ht="15" customHeight="1" x14ac:dyDescent="0.25">
      <c r="B476" s="264" t="s">
        <v>1365</v>
      </c>
      <c r="C476" s="264" t="s">
        <v>1366</v>
      </c>
      <c r="D476" s="264" t="s">
        <v>432</v>
      </c>
      <c r="E476" s="264">
        <v>174</v>
      </c>
      <c r="F476" s="265">
        <v>692.51694915254234</v>
      </c>
    </row>
    <row r="477" spans="2:6" ht="15" customHeight="1" x14ac:dyDescent="0.25">
      <c r="B477" s="264" t="s">
        <v>1367</v>
      </c>
      <c r="C477" s="264" t="s">
        <v>1368</v>
      </c>
      <c r="D477" s="264" t="s">
        <v>432</v>
      </c>
      <c r="E477" s="264">
        <v>1000</v>
      </c>
      <c r="F477" s="265">
        <v>9000</v>
      </c>
    </row>
    <row r="478" spans="2:6" ht="15" customHeight="1" x14ac:dyDescent="0.25">
      <c r="B478" s="264" t="s">
        <v>1369</v>
      </c>
      <c r="C478" s="264" t="s">
        <v>1370</v>
      </c>
      <c r="D478" s="264" t="s">
        <v>432</v>
      </c>
      <c r="E478" s="264">
        <v>12</v>
      </c>
      <c r="F478" s="265">
        <v>1680.0000000000002</v>
      </c>
    </row>
    <row r="479" spans="2:6" ht="15" customHeight="1" x14ac:dyDescent="0.25">
      <c r="B479" s="264" t="s">
        <v>1371</v>
      </c>
      <c r="C479" s="264" t="s">
        <v>1372</v>
      </c>
      <c r="D479" s="264" t="s">
        <v>432</v>
      </c>
      <c r="E479" s="264">
        <v>4</v>
      </c>
      <c r="F479" s="265">
        <v>330.83898305084745</v>
      </c>
    </row>
    <row r="480" spans="2:6" ht="15" customHeight="1" x14ac:dyDescent="0.25">
      <c r="B480" s="264" t="s">
        <v>1373</v>
      </c>
      <c r="C480" s="264" t="s">
        <v>1374</v>
      </c>
      <c r="D480" s="264" t="s">
        <v>432</v>
      </c>
      <c r="E480" s="264">
        <v>12</v>
      </c>
      <c r="F480" s="265">
        <v>8644.0677966101703</v>
      </c>
    </row>
    <row r="481" spans="2:6" ht="15" customHeight="1" x14ac:dyDescent="0.25">
      <c r="B481" s="264" t="s">
        <v>1375</v>
      </c>
      <c r="C481" s="264" t="s">
        <v>1376</v>
      </c>
      <c r="D481" s="264" t="s">
        <v>432</v>
      </c>
      <c r="E481" s="264">
        <v>12</v>
      </c>
      <c r="F481" s="265">
        <v>915.2372881355933</v>
      </c>
    </row>
    <row r="482" spans="2:6" ht="15" customHeight="1" x14ac:dyDescent="0.25">
      <c r="B482" s="264" t="s">
        <v>1377</v>
      </c>
      <c r="C482" s="264" t="s">
        <v>1378</v>
      </c>
      <c r="D482" s="264" t="s">
        <v>432</v>
      </c>
      <c r="E482" s="264">
        <v>14</v>
      </c>
      <c r="F482" s="265">
        <v>2170</v>
      </c>
    </row>
    <row r="483" spans="2:6" ht="15" customHeight="1" x14ac:dyDescent="0.25">
      <c r="B483" s="264" t="s">
        <v>1379</v>
      </c>
      <c r="C483" s="264" t="s">
        <v>1380</v>
      </c>
      <c r="D483" s="264" t="s">
        <v>432</v>
      </c>
      <c r="E483" s="264">
        <v>9</v>
      </c>
      <c r="F483" s="265">
        <v>430470</v>
      </c>
    </row>
    <row r="484" spans="2:6" ht="15" customHeight="1" x14ac:dyDescent="0.25">
      <c r="B484" s="264" t="s">
        <v>1381</v>
      </c>
      <c r="C484" s="264" t="s">
        <v>1382</v>
      </c>
      <c r="D484" s="264" t="s">
        <v>432</v>
      </c>
      <c r="E484" s="264">
        <v>2</v>
      </c>
      <c r="F484" s="265">
        <v>70730</v>
      </c>
    </row>
    <row r="485" spans="2:6" ht="15" customHeight="1" x14ac:dyDescent="0.25">
      <c r="B485" s="264" t="s">
        <v>1383</v>
      </c>
      <c r="C485" s="264" t="s">
        <v>1384</v>
      </c>
      <c r="D485" s="264" t="s">
        <v>432</v>
      </c>
      <c r="E485" s="264">
        <v>1</v>
      </c>
      <c r="F485" s="265">
        <v>107100</v>
      </c>
    </row>
    <row r="486" spans="2:6" ht="15" customHeight="1" x14ac:dyDescent="0.25">
      <c r="B486" s="264" t="s">
        <v>1385</v>
      </c>
      <c r="C486" s="264" t="s">
        <v>1386</v>
      </c>
      <c r="D486" s="264" t="s">
        <v>432</v>
      </c>
      <c r="E486" s="264">
        <v>21</v>
      </c>
      <c r="F486" s="265">
        <v>1637.2881355932204</v>
      </c>
    </row>
    <row r="487" spans="2:6" ht="15" customHeight="1" x14ac:dyDescent="0.25">
      <c r="B487" s="264" t="s">
        <v>1387</v>
      </c>
      <c r="C487" s="264" t="s">
        <v>1388</v>
      </c>
      <c r="D487" s="264" t="s">
        <v>432</v>
      </c>
      <c r="E487" s="264">
        <v>10</v>
      </c>
      <c r="F487" s="265">
        <v>2700</v>
      </c>
    </row>
    <row r="488" spans="2:6" ht="15" customHeight="1" x14ac:dyDescent="0.25">
      <c r="B488" s="264" t="s">
        <v>1389</v>
      </c>
      <c r="C488" s="264" t="s">
        <v>1390</v>
      </c>
      <c r="D488" s="264" t="s">
        <v>432</v>
      </c>
      <c r="E488" s="264">
        <v>25</v>
      </c>
      <c r="F488" s="265">
        <v>20450</v>
      </c>
    </row>
    <row r="489" spans="2:6" ht="15" customHeight="1" x14ac:dyDescent="0.25">
      <c r="B489" s="264" t="s">
        <v>1391</v>
      </c>
      <c r="C489" s="264" t="s">
        <v>1392</v>
      </c>
      <c r="D489" s="264" t="s">
        <v>432</v>
      </c>
      <c r="E489" s="264">
        <v>24</v>
      </c>
      <c r="F489" s="265">
        <v>12960</v>
      </c>
    </row>
    <row r="490" spans="2:6" ht="15" customHeight="1" x14ac:dyDescent="0.25">
      <c r="B490" s="264" t="s">
        <v>1393</v>
      </c>
      <c r="C490" s="264" t="s">
        <v>1394</v>
      </c>
      <c r="D490" s="264" t="s">
        <v>432</v>
      </c>
      <c r="E490" s="264">
        <v>39</v>
      </c>
      <c r="F490" s="265">
        <v>2792.7966101694915</v>
      </c>
    </row>
    <row r="491" spans="2:6" ht="15" customHeight="1" x14ac:dyDescent="0.25">
      <c r="B491" s="264" t="s">
        <v>1395</v>
      </c>
      <c r="C491" s="264" t="s">
        <v>1396</v>
      </c>
      <c r="D491" s="264" t="s">
        <v>432</v>
      </c>
      <c r="E491" s="264">
        <v>1</v>
      </c>
      <c r="F491" s="265">
        <v>74260</v>
      </c>
    </row>
    <row r="492" spans="2:6" ht="15" customHeight="1" x14ac:dyDescent="0.25">
      <c r="B492" s="264" t="s">
        <v>1397</v>
      </c>
      <c r="C492" s="264" t="s">
        <v>1398</v>
      </c>
      <c r="D492" s="264" t="s">
        <v>432</v>
      </c>
      <c r="E492" s="264">
        <v>2</v>
      </c>
      <c r="F492" s="265">
        <v>437.07627118644069</v>
      </c>
    </row>
    <row r="493" spans="2:6" ht="15" customHeight="1" x14ac:dyDescent="0.25">
      <c r="B493" s="264" t="s">
        <v>1399</v>
      </c>
      <c r="C493" s="264" t="s">
        <v>1400</v>
      </c>
      <c r="D493" s="264" t="s">
        <v>432</v>
      </c>
      <c r="E493" s="264">
        <v>10</v>
      </c>
      <c r="F493" s="265">
        <v>10000</v>
      </c>
    </row>
    <row r="494" spans="2:6" ht="15" customHeight="1" x14ac:dyDescent="0.25">
      <c r="B494" s="264" t="s">
        <v>1401</v>
      </c>
      <c r="C494" s="264" t="s">
        <v>1402</v>
      </c>
      <c r="D494" s="264" t="s">
        <v>432</v>
      </c>
      <c r="E494" s="264">
        <v>1</v>
      </c>
      <c r="F494" s="265">
        <v>548.52542372881362</v>
      </c>
    </row>
    <row r="495" spans="2:6" ht="15" customHeight="1" x14ac:dyDescent="0.25">
      <c r="B495" s="264" t="s">
        <v>1403</v>
      </c>
      <c r="C495" s="264" t="s">
        <v>1404</v>
      </c>
      <c r="D495" s="264" t="s">
        <v>432</v>
      </c>
      <c r="E495" s="264">
        <v>1</v>
      </c>
      <c r="F495" s="265">
        <v>1186.0254237288136</v>
      </c>
    </row>
    <row r="496" spans="2:6" ht="15" customHeight="1" x14ac:dyDescent="0.25">
      <c r="B496" s="264" t="s">
        <v>1405</v>
      </c>
      <c r="C496" s="264" t="s">
        <v>1406</v>
      </c>
      <c r="D496" s="264" t="s">
        <v>432</v>
      </c>
      <c r="E496" s="264">
        <v>2</v>
      </c>
      <c r="F496" s="265">
        <v>493.50000000000006</v>
      </c>
    </row>
    <row r="497" spans="2:6" ht="15" customHeight="1" x14ac:dyDescent="0.25">
      <c r="B497" s="264" t="s">
        <v>1407</v>
      </c>
      <c r="C497" s="264" t="s">
        <v>1408</v>
      </c>
      <c r="D497" s="264" t="s">
        <v>432</v>
      </c>
      <c r="E497" s="264">
        <v>2</v>
      </c>
      <c r="F497" s="265">
        <v>906.77966101694915</v>
      </c>
    </row>
    <row r="498" spans="2:6" ht="15" customHeight="1" x14ac:dyDescent="0.25">
      <c r="B498" s="264" t="s">
        <v>1409</v>
      </c>
      <c r="C498" s="264" t="s">
        <v>1410</v>
      </c>
      <c r="D498" s="264" t="s">
        <v>432</v>
      </c>
      <c r="E498" s="264">
        <v>4</v>
      </c>
      <c r="F498" s="265">
        <v>2440.6779661016949</v>
      </c>
    </row>
    <row r="499" spans="2:6" ht="15" customHeight="1" x14ac:dyDescent="0.25">
      <c r="B499" s="264" t="s">
        <v>1411</v>
      </c>
      <c r="C499" s="264" t="s">
        <v>1412</v>
      </c>
      <c r="D499" s="264" t="s">
        <v>432</v>
      </c>
      <c r="E499" s="264">
        <v>7</v>
      </c>
      <c r="F499" s="265">
        <v>5343.516949152543</v>
      </c>
    </row>
    <row r="500" spans="2:6" ht="15" customHeight="1" x14ac:dyDescent="0.25">
      <c r="B500" s="264" t="s">
        <v>1413</v>
      </c>
      <c r="C500" s="264" t="s">
        <v>1414</v>
      </c>
      <c r="D500" s="264" t="s">
        <v>432</v>
      </c>
      <c r="E500" s="264">
        <v>3</v>
      </c>
      <c r="F500" s="265">
        <v>886.06779661016947</v>
      </c>
    </row>
    <row r="501" spans="2:6" ht="15" customHeight="1" x14ac:dyDescent="0.25">
      <c r="B501" s="264" t="s">
        <v>1415</v>
      </c>
      <c r="C501" s="264" t="s">
        <v>1416</v>
      </c>
      <c r="D501" s="264" t="s">
        <v>432</v>
      </c>
      <c r="E501" s="264">
        <v>1</v>
      </c>
      <c r="F501" s="265">
        <v>1508.4576271186443</v>
      </c>
    </row>
    <row r="502" spans="2:6" ht="15" customHeight="1" x14ac:dyDescent="0.25">
      <c r="B502" s="264" t="s">
        <v>1417</v>
      </c>
      <c r="C502" s="264" t="s">
        <v>1418</v>
      </c>
      <c r="D502" s="264" t="s">
        <v>432</v>
      </c>
      <c r="E502" s="264">
        <v>1</v>
      </c>
      <c r="F502" s="265">
        <v>2976.6355932203392</v>
      </c>
    </row>
    <row r="503" spans="2:6" ht="15" customHeight="1" x14ac:dyDescent="0.25">
      <c r="B503" s="264" t="s">
        <v>1419</v>
      </c>
      <c r="C503" s="264" t="s">
        <v>1420</v>
      </c>
      <c r="D503" s="264" t="s">
        <v>432</v>
      </c>
      <c r="E503" s="264">
        <v>1</v>
      </c>
      <c r="F503" s="265">
        <v>1760.0762711864406</v>
      </c>
    </row>
    <row r="504" spans="2:6" ht="15" customHeight="1" x14ac:dyDescent="0.25">
      <c r="B504" s="264" t="s">
        <v>1421</v>
      </c>
      <c r="C504" s="264" t="s">
        <v>1422</v>
      </c>
      <c r="D504" s="264" t="s">
        <v>432</v>
      </c>
      <c r="E504" s="264">
        <v>2</v>
      </c>
      <c r="F504" s="265">
        <v>4538.1779661016953</v>
      </c>
    </row>
    <row r="505" spans="2:6" ht="15" customHeight="1" x14ac:dyDescent="0.25">
      <c r="B505" s="264" t="s">
        <v>1423</v>
      </c>
      <c r="C505" s="264" t="s">
        <v>1424</v>
      </c>
      <c r="D505" s="264" t="s">
        <v>432</v>
      </c>
      <c r="E505" s="264">
        <v>3</v>
      </c>
      <c r="F505" s="265">
        <v>660</v>
      </c>
    </row>
    <row r="506" spans="2:6" ht="15" customHeight="1" x14ac:dyDescent="0.25">
      <c r="B506" s="264" t="s">
        <v>1425</v>
      </c>
      <c r="C506" s="264" t="s">
        <v>1426</v>
      </c>
      <c r="D506" s="264" t="s">
        <v>432</v>
      </c>
      <c r="E506" s="264">
        <v>1</v>
      </c>
      <c r="F506" s="265">
        <v>2000</v>
      </c>
    </row>
    <row r="507" spans="2:6" ht="15" customHeight="1" x14ac:dyDescent="0.25">
      <c r="B507" s="264" t="s">
        <v>1427</v>
      </c>
      <c r="C507" s="264" t="s">
        <v>1428</v>
      </c>
      <c r="D507" s="264" t="s">
        <v>432</v>
      </c>
      <c r="E507" s="264">
        <v>2</v>
      </c>
      <c r="F507" s="265">
        <v>660</v>
      </c>
    </row>
    <row r="508" spans="2:6" ht="15" customHeight="1" x14ac:dyDescent="0.25">
      <c r="B508" s="264" t="s">
        <v>1429</v>
      </c>
      <c r="C508" s="264" t="s">
        <v>1430</v>
      </c>
      <c r="D508" s="264" t="s">
        <v>432</v>
      </c>
      <c r="E508" s="264">
        <v>3</v>
      </c>
      <c r="F508" s="265">
        <v>1017</v>
      </c>
    </row>
    <row r="509" spans="2:6" ht="15" customHeight="1" x14ac:dyDescent="0.25">
      <c r="B509" s="264" t="s">
        <v>1431</v>
      </c>
      <c r="C509" s="264" t="s">
        <v>1432</v>
      </c>
      <c r="D509" s="264" t="s">
        <v>432</v>
      </c>
      <c r="E509" s="264">
        <v>6</v>
      </c>
      <c r="F509" s="265">
        <v>948.00000000000011</v>
      </c>
    </row>
    <row r="510" spans="2:6" ht="15" customHeight="1" x14ac:dyDescent="0.25">
      <c r="B510" s="264" t="s">
        <v>1433</v>
      </c>
      <c r="C510" s="264" t="s">
        <v>1434</v>
      </c>
      <c r="D510" s="264" t="s">
        <v>432</v>
      </c>
      <c r="E510" s="264">
        <v>390</v>
      </c>
      <c r="F510" s="265">
        <v>38530.677966101692</v>
      </c>
    </row>
    <row r="511" spans="2:6" ht="15" customHeight="1" x14ac:dyDescent="0.25">
      <c r="B511" s="264" t="s">
        <v>1435</v>
      </c>
      <c r="C511" s="264" t="s">
        <v>1436</v>
      </c>
      <c r="D511" s="264" t="s">
        <v>432</v>
      </c>
      <c r="E511" s="264">
        <v>36</v>
      </c>
      <c r="F511" s="265">
        <v>762.71186440677968</v>
      </c>
    </row>
    <row r="512" spans="2:6" ht="15" customHeight="1" x14ac:dyDescent="0.25">
      <c r="B512" s="264" t="s">
        <v>1437</v>
      </c>
      <c r="C512" s="264" t="s">
        <v>1438</v>
      </c>
      <c r="D512" s="264" t="s">
        <v>432</v>
      </c>
      <c r="E512" s="264">
        <v>70</v>
      </c>
      <c r="F512" s="265">
        <v>3850</v>
      </c>
    </row>
    <row r="513" spans="2:6" ht="15" customHeight="1" x14ac:dyDescent="0.25">
      <c r="B513" s="264" t="s">
        <v>1439</v>
      </c>
      <c r="C513" s="264" t="s">
        <v>1440</v>
      </c>
      <c r="D513" s="264" t="s">
        <v>432</v>
      </c>
      <c r="E513" s="264">
        <v>144</v>
      </c>
      <c r="F513" s="265">
        <v>6711.8644067796613</v>
      </c>
    </row>
    <row r="514" spans="2:6" ht="15" customHeight="1" x14ac:dyDescent="0.25">
      <c r="B514" s="264" t="s">
        <v>1441</v>
      </c>
      <c r="C514" s="264" t="s">
        <v>1442</v>
      </c>
      <c r="D514" s="264" t="s">
        <v>432</v>
      </c>
      <c r="E514" s="264">
        <v>1</v>
      </c>
      <c r="F514" s="265">
        <v>4750</v>
      </c>
    </row>
    <row r="515" spans="2:6" ht="15" customHeight="1" x14ac:dyDescent="0.25">
      <c r="B515" s="264" t="s">
        <v>1443</v>
      </c>
      <c r="C515" s="264" t="s">
        <v>1444</v>
      </c>
      <c r="D515" s="264" t="s">
        <v>432</v>
      </c>
      <c r="E515" s="264">
        <v>17</v>
      </c>
      <c r="F515" s="265">
        <v>2465</v>
      </c>
    </row>
    <row r="516" spans="2:6" ht="15" customHeight="1" x14ac:dyDescent="0.25">
      <c r="B516" s="264" t="s">
        <v>1445</v>
      </c>
      <c r="C516" s="264" t="s">
        <v>1446</v>
      </c>
      <c r="D516" s="264" t="s">
        <v>432</v>
      </c>
      <c r="E516" s="264">
        <v>45</v>
      </c>
      <c r="F516" s="265">
        <v>190.67796610169492</v>
      </c>
    </row>
    <row r="517" spans="2:6" ht="15" customHeight="1" x14ac:dyDescent="0.25">
      <c r="B517" s="264" t="s">
        <v>1447</v>
      </c>
      <c r="C517" s="264" t="s">
        <v>1448</v>
      </c>
      <c r="D517" s="264" t="s">
        <v>432</v>
      </c>
      <c r="E517" s="264">
        <v>11</v>
      </c>
      <c r="F517" s="265">
        <v>76175</v>
      </c>
    </row>
    <row r="518" spans="2:6" ht="15" customHeight="1" x14ac:dyDescent="0.25">
      <c r="B518" s="264" t="s">
        <v>1449</v>
      </c>
      <c r="C518" s="264" t="s">
        <v>1450</v>
      </c>
      <c r="D518" s="264" t="s">
        <v>432</v>
      </c>
      <c r="E518" s="264">
        <v>26</v>
      </c>
      <c r="F518" s="265">
        <v>3250</v>
      </c>
    </row>
    <row r="519" spans="2:6" ht="15" customHeight="1" x14ac:dyDescent="0.25">
      <c r="B519" s="264" t="s">
        <v>1451</v>
      </c>
      <c r="C519" s="264" t="s">
        <v>1452</v>
      </c>
      <c r="D519" s="264" t="s">
        <v>432</v>
      </c>
      <c r="E519" s="264">
        <v>20</v>
      </c>
      <c r="F519" s="265">
        <v>1525.398305084746</v>
      </c>
    </row>
    <row r="520" spans="2:6" ht="15" customHeight="1" x14ac:dyDescent="0.25">
      <c r="B520" s="264" t="s">
        <v>1453</v>
      </c>
      <c r="C520" s="264" t="s">
        <v>1454</v>
      </c>
      <c r="D520" s="264" t="s">
        <v>432</v>
      </c>
      <c r="E520" s="264">
        <v>420</v>
      </c>
      <c r="F520" s="265">
        <v>128436.00000000001</v>
      </c>
    </row>
    <row r="521" spans="2:6" ht="15" customHeight="1" x14ac:dyDescent="0.25">
      <c r="B521" s="264" t="s">
        <v>1455</v>
      </c>
      <c r="C521" s="264" t="s">
        <v>1456</v>
      </c>
      <c r="D521" s="264" t="s">
        <v>432</v>
      </c>
      <c r="E521" s="264">
        <v>3</v>
      </c>
      <c r="F521" s="265">
        <v>139500</v>
      </c>
    </row>
    <row r="522" spans="2:6" ht="15" customHeight="1" x14ac:dyDescent="0.25">
      <c r="B522" s="264" t="s">
        <v>1457</v>
      </c>
      <c r="C522" s="264" t="s">
        <v>1458</v>
      </c>
      <c r="D522" s="264" t="s">
        <v>432</v>
      </c>
      <c r="E522" s="264">
        <v>3</v>
      </c>
      <c r="F522" s="265">
        <v>60170.338983050853</v>
      </c>
    </row>
    <row r="523" spans="2:6" ht="15" customHeight="1" x14ac:dyDescent="0.25">
      <c r="B523" s="264" t="s">
        <v>1459</v>
      </c>
      <c r="C523" s="264" t="s">
        <v>1460</v>
      </c>
      <c r="D523" s="264" t="s">
        <v>432</v>
      </c>
      <c r="E523" s="264">
        <v>14</v>
      </c>
      <c r="F523" s="265">
        <v>12600</v>
      </c>
    </row>
    <row r="524" spans="2:6" ht="15" customHeight="1" x14ac:dyDescent="0.25">
      <c r="B524" s="264" t="s">
        <v>1461</v>
      </c>
      <c r="C524" s="264" t="s">
        <v>1462</v>
      </c>
      <c r="D524" s="264" t="s">
        <v>432</v>
      </c>
      <c r="E524" s="264">
        <v>1</v>
      </c>
      <c r="F524" s="265">
        <v>2384.7457627118647</v>
      </c>
    </row>
    <row r="525" spans="2:6" ht="15" customHeight="1" x14ac:dyDescent="0.25">
      <c r="B525" s="264" t="s">
        <v>1463</v>
      </c>
      <c r="C525" s="264" t="s">
        <v>1464</v>
      </c>
      <c r="D525" s="264" t="s">
        <v>432</v>
      </c>
      <c r="E525" s="264">
        <v>1</v>
      </c>
      <c r="F525" s="265">
        <v>434.12711864406782</v>
      </c>
    </row>
    <row r="526" spans="2:6" ht="15" customHeight="1" x14ac:dyDescent="0.25">
      <c r="B526" s="264" t="s">
        <v>1465</v>
      </c>
      <c r="C526" s="264" t="s">
        <v>1466</v>
      </c>
      <c r="D526" s="264" t="s">
        <v>432</v>
      </c>
      <c r="E526" s="264">
        <v>3</v>
      </c>
      <c r="F526" s="265">
        <v>2850</v>
      </c>
    </row>
    <row r="527" spans="2:6" ht="15" customHeight="1" x14ac:dyDescent="0.25">
      <c r="B527" s="264" t="s">
        <v>1467</v>
      </c>
      <c r="C527" s="264" t="s">
        <v>1468</v>
      </c>
      <c r="D527" s="264" t="s">
        <v>432</v>
      </c>
      <c r="E527" s="264">
        <v>1</v>
      </c>
      <c r="F527" s="265">
        <v>42372.881355932208</v>
      </c>
    </row>
    <row r="528" spans="2:6" ht="15" customHeight="1" x14ac:dyDescent="0.25">
      <c r="B528" s="264" t="s">
        <v>1469</v>
      </c>
      <c r="C528" s="264" t="s">
        <v>1470</v>
      </c>
      <c r="D528" s="264" t="s">
        <v>432</v>
      </c>
      <c r="E528" s="264">
        <v>390</v>
      </c>
      <c r="F528" s="265">
        <v>4980.3050847457635</v>
      </c>
    </row>
    <row r="529" spans="2:6" ht="15" customHeight="1" x14ac:dyDescent="0.25">
      <c r="B529" s="264" t="s">
        <v>1471</v>
      </c>
      <c r="C529" s="264" t="s">
        <v>1472</v>
      </c>
      <c r="D529" s="264" t="s">
        <v>432</v>
      </c>
      <c r="E529" s="264">
        <v>500</v>
      </c>
      <c r="F529" s="265">
        <v>7595.0000000000009</v>
      </c>
    </row>
    <row r="530" spans="2:6" ht="15" customHeight="1" x14ac:dyDescent="0.25">
      <c r="B530" s="264" t="s">
        <v>1473</v>
      </c>
      <c r="C530" s="264" t="s">
        <v>1474</v>
      </c>
      <c r="D530" s="264" t="s">
        <v>432</v>
      </c>
      <c r="E530" s="264">
        <v>1040</v>
      </c>
      <c r="F530" s="265">
        <v>31158.398305084749</v>
      </c>
    </row>
    <row r="531" spans="2:6" ht="15" customHeight="1" x14ac:dyDescent="0.25">
      <c r="B531" s="264" t="s">
        <v>1475</v>
      </c>
      <c r="C531" s="264" t="s">
        <v>1476</v>
      </c>
      <c r="D531" s="264" t="s">
        <v>432</v>
      </c>
      <c r="E531" s="264">
        <v>950</v>
      </c>
      <c r="F531" s="265">
        <v>39235.000000000007</v>
      </c>
    </row>
    <row r="532" spans="2:6" ht="15" customHeight="1" x14ac:dyDescent="0.25">
      <c r="B532" s="264" t="s">
        <v>1477</v>
      </c>
      <c r="C532" s="264" t="s">
        <v>1478</v>
      </c>
      <c r="D532" s="264" t="s">
        <v>432</v>
      </c>
      <c r="E532" s="264">
        <v>3</v>
      </c>
      <c r="F532" s="265">
        <v>20700</v>
      </c>
    </row>
    <row r="533" spans="2:6" ht="15" customHeight="1" x14ac:dyDescent="0.25">
      <c r="B533" s="264" t="s">
        <v>1479</v>
      </c>
      <c r="C533" s="264" t="s">
        <v>1480</v>
      </c>
      <c r="D533" s="264" t="s">
        <v>432</v>
      </c>
      <c r="E533" s="264">
        <v>7</v>
      </c>
      <c r="F533" s="265">
        <v>6300</v>
      </c>
    </row>
    <row r="534" spans="2:6" ht="15" customHeight="1" x14ac:dyDescent="0.25">
      <c r="B534" s="264" t="s">
        <v>1481</v>
      </c>
      <c r="C534" s="264" t="s">
        <v>1482</v>
      </c>
      <c r="D534" s="264" t="s">
        <v>432</v>
      </c>
      <c r="E534" s="264">
        <v>14</v>
      </c>
      <c r="F534" s="265">
        <v>11900</v>
      </c>
    </row>
    <row r="535" spans="2:6" ht="15" customHeight="1" x14ac:dyDescent="0.25">
      <c r="B535" s="264" t="s">
        <v>1483</v>
      </c>
      <c r="C535" s="264" t="s">
        <v>1484</v>
      </c>
      <c r="D535" s="264" t="s">
        <v>432</v>
      </c>
      <c r="E535" s="264">
        <v>16</v>
      </c>
      <c r="F535" s="265">
        <v>12000</v>
      </c>
    </row>
    <row r="536" spans="2:6" ht="15" customHeight="1" x14ac:dyDescent="0.25">
      <c r="B536" s="264" t="s">
        <v>1485</v>
      </c>
      <c r="C536" s="264" t="s">
        <v>1486</v>
      </c>
      <c r="D536" s="264" t="s">
        <v>432</v>
      </c>
      <c r="E536" s="264">
        <v>10</v>
      </c>
      <c r="F536" s="265">
        <v>1550</v>
      </c>
    </row>
    <row r="537" spans="2:6" ht="15" customHeight="1" x14ac:dyDescent="0.25">
      <c r="B537" s="264" t="s">
        <v>1487</v>
      </c>
      <c r="C537" s="264" t="s">
        <v>1488</v>
      </c>
      <c r="D537" s="264" t="s">
        <v>432</v>
      </c>
      <c r="E537" s="264">
        <v>10</v>
      </c>
      <c r="F537" s="265">
        <v>2550</v>
      </c>
    </row>
    <row r="538" spans="2:6" ht="15" customHeight="1" x14ac:dyDescent="0.25">
      <c r="B538" s="264" t="s">
        <v>1489</v>
      </c>
      <c r="C538" s="264" t="s">
        <v>1490</v>
      </c>
      <c r="D538" s="264" t="s">
        <v>432</v>
      </c>
      <c r="E538" s="264">
        <v>1</v>
      </c>
      <c r="F538" s="265">
        <v>565.00000000000011</v>
      </c>
    </row>
    <row r="539" spans="2:6" ht="15" customHeight="1" x14ac:dyDescent="0.25">
      <c r="B539" s="264" t="s">
        <v>1491</v>
      </c>
      <c r="C539" s="264" t="s">
        <v>1492</v>
      </c>
      <c r="D539" s="264" t="s">
        <v>432</v>
      </c>
      <c r="E539" s="264">
        <v>1500</v>
      </c>
      <c r="F539" s="265">
        <v>117000</v>
      </c>
    </row>
    <row r="540" spans="2:6" ht="15" customHeight="1" x14ac:dyDescent="0.25">
      <c r="B540" s="264" t="s">
        <v>1493</v>
      </c>
      <c r="C540" s="264" t="s">
        <v>1494</v>
      </c>
      <c r="D540" s="264" t="s">
        <v>432</v>
      </c>
      <c r="E540" s="264">
        <v>100</v>
      </c>
      <c r="F540" s="265">
        <v>46500</v>
      </c>
    </row>
    <row r="541" spans="2:6" ht="15" customHeight="1" x14ac:dyDescent="0.25">
      <c r="B541" s="264" t="s">
        <v>1495</v>
      </c>
      <c r="C541" s="264" t="s">
        <v>1496</v>
      </c>
      <c r="D541" s="264" t="s">
        <v>432</v>
      </c>
      <c r="E541" s="264">
        <v>70</v>
      </c>
      <c r="F541" s="265">
        <v>57050</v>
      </c>
    </row>
    <row r="542" spans="2:6" ht="15" customHeight="1" x14ac:dyDescent="0.25">
      <c r="B542" s="264" t="s">
        <v>1497</v>
      </c>
      <c r="C542" s="264" t="s">
        <v>1498</v>
      </c>
      <c r="D542" s="264" t="s">
        <v>432</v>
      </c>
      <c r="E542" s="264">
        <v>32</v>
      </c>
      <c r="F542" s="265">
        <v>1310.6440677966102</v>
      </c>
    </row>
    <row r="543" spans="2:6" ht="15" customHeight="1" x14ac:dyDescent="0.25">
      <c r="B543" s="264" t="s">
        <v>1499</v>
      </c>
      <c r="C543" s="264" t="s">
        <v>1500</v>
      </c>
      <c r="D543" s="264" t="s">
        <v>432</v>
      </c>
      <c r="E543" s="264">
        <v>31</v>
      </c>
      <c r="F543" s="265">
        <v>2451.8898305084749</v>
      </c>
    </row>
    <row r="544" spans="2:6" ht="15" customHeight="1" x14ac:dyDescent="0.25">
      <c r="E544" s="262" t="s">
        <v>424</v>
      </c>
    </row>
    <row r="545" spans="2:10" ht="15.75" customHeight="1" x14ac:dyDescent="0.25">
      <c r="C545" s="266" t="s">
        <v>213</v>
      </c>
      <c r="D545" s="266"/>
      <c r="E545" s="266" t="s">
        <v>424</v>
      </c>
      <c r="F545" s="267">
        <f ca="1">SUM(F9:F546)</f>
        <v>14003912.509830507</v>
      </c>
    </row>
    <row r="546" spans="2:10" ht="15" customHeight="1" x14ac:dyDescent="0.25">
      <c r="I546" s="262" t="s">
        <v>424</v>
      </c>
    </row>
    <row r="547" spans="2:10" ht="15" customHeight="1" x14ac:dyDescent="0.25">
      <c r="I547" s="262" t="s">
        <v>424</v>
      </c>
      <c r="J547" s="262" t="s">
        <v>424</v>
      </c>
    </row>
    <row r="550" spans="2:10" ht="15" customHeight="1" x14ac:dyDescent="0.25">
      <c r="B550" s="268" t="s">
        <v>1501</v>
      </c>
      <c r="C550" s="268"/>
      <c r="E550" s="269" t="s">
        <v>1502</v>
      </c>
      <c r="H550" s="262" t="s">
        <v>424</v>
      </c>
    </row>
    <row r="551" spans="2:10" ht="15" customHeight="1" x14ac:dyDescent="0.25">
      <c r="B551" s="268" t="s">
        <v>1503</v>
      </c>
      <c r="C551" s="268"/>
      <c r="E551" s="262" t="s">
        <v>1504</v>
      </c>
    </row>
    <row r="555" spans="2:10" ht="15" customHeight="1" x14ac:dyDescent="0.25">
      <c r="C555" s="270" t="s">
        <v>1505</v>
      </c>
    </row>
    <row r="556" spans="2:10" ht="15" customHeight="1" x14ac:dyDescent="0.25">
      <c r="C556" s="270" t="s">
        <v>1506</v>
      </c>
    </row>
  </sheetData>
  <mergeCells count="1">
    <mergeCell ref="B5:F5"/>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A13" workbookViewId="0">
      <selection activeCell="K35" sqref="K35"/>
    </sheetView>
  </sheetViews>
  <sheetFormatPr baseColWidth="10" defaultColWidth="11.42578125" defaultRowHeight="15" customHeight="1" x14ac:dyDescent="0.25"/>
  <cols>
    <col min="1" max="4" width="11.42578125" style="262"/>
    <col min="5" max="5" width="36.85546875" style="262" customWidth="1"/>
    <col min="6" max="6" width="15.5703125" style="262" bestFit="1" customWidth="1"/>
    <col min="7" max="16384" width="11.42578125" style="262"/>
  </cols>
  <sheetData>
    <row r="1" spans="1:14" ht="15" customHeight="1" x14ac:dyDescent="0.25">
      <c r="A1" s="262" t="s">
        <v>424</v>
      </c>
    </row>
    <row r="2" spans="1:14" ht="15" customHeight="1" x14ac:dyDescent="0.25">
      <c r="A2" s="262" t="s">
        <v>424</v>
      </c>
    </row>
    <row r="4" spans="1:14" ht="15" customHeight="1" x14ac:dyDescent="0.25">
      <c r="M4" s="262" t="s">
        <v>424</v>
      </c>
    </row>
    <row r="5" spans="1:14" ht="15" customHeight="1" x14ac:dyDescent="0.25">
      <c r="A5" s="262" t="s">
        <v>424</v>
      </c>
    </row>
    <row r="6" spans="1:14" ht="15" customHeight="1" x14ac:dyDescent="0.25">
      <c r="I6" s="262" t="s">
        <v>424</v>
      </c>
    </row>
    <row r="7" spans="1:14" ht="15" customHeight="1" x14ac:dyDescent="0.25">
      <c r="M7" s="262" t="s">
        <v>424</v>
      </c>
    </row>
    <row r="11" spans="1:14" ht="15" customHeight="1" x14ac:dyDescent="0.25">
      <c r="A11" s="262" t="s">
        <v>424</v>
      </c>
      <c r="B11" s="262" t="s">
        <v>424</v>
      </c>
      <c r="N11" s="262" t="s">
        <v>424</v>
      </c>
    </row>
    <row r="12" spans="1:14" ht="15.75" customHeight="1" x14ac:dyDescent="0.3">
      <c r="B12" s="262" t="s">
        <v>424</v>
      </c>
      <c r="D12" s="294" t="s">
        <v>1507</v>
      </c>
      <c r="E12" s="294"/>
      <c r="F12" s="294"/>
      <c r="J12" s="262" t="s">
        <v>424</v>
      </c>
    </row>
    <row r="13" spans="1:14" ht="15" customHeight="1" x14ac:dyDescent="0.25">
      <c r="N13" s="262" t="s">
        <v>424</v>
      </c>
    </row>
    <row r="15" spans="1:14" ht="15.75" customHeight="1" x14ac:dyDescent="0.25">
      <c r="D15" s="263" t="s">
        <v>1508</v>
      </c>
      <c r="E15" s="263" t="s">
        <v>1509</v>
      </c>
      <c r="F15" s="263" t="s">
        <v>1510</v>
      </c>
    </row>
    <row r="16" spans="1:14" ht="15" customHeight="1" x14ac:dyDescent="0.25">
      <c r="H16" s="262" t="s">
        <v>424</v>
      </c>
    </row>
    <row r="17" spans="2:14" ht="15" customHeight="1" x14ac:dyDescent="0.25">
      <c r="D17" s="264" t="s">
        <v>1511</v>
      </c>
      <c r="E17" s="264" t="s">
        <v>1512</v>
      </c>
      <c r="F17" s="265">
        <v>129932.16</v>
      </c>
    </row>
    <row r="18" spans="2:14" ht="15" customHeight="1" x14ac:dyDescent="0.25">
      <c r="D18" s="264" t="s">
        <v>1513</v>
      </c>
      <c r="E18" s="264" t="s">
        <v>1514</v>
      </c>
      <c r="F18" s="265">
        <v>284183.5</v>
      </c>
    </row>
    <row r="19" spans="2:14" ht="15" customHeight="1" x14ac:dyDescent="0.25">
      <c r="D19" s="264" t="s">
        <v>1515</v>
      </c>
      <c r="E19" s="264" t="s">
        <v>1516</v>
      </c>
      <c r="F19" s="265">
        <v>884516.35</v>
      </c>
    </row>
    <row r="20" spans="2:14" ht="15" customHeight="1" x14ac:dyDescent="0.25">
      <c r="D20" s="264" t="s">
        <v>1517</v>
      </c>
      <c r="E20" s="264" t="s">
        <v>1518</v>
      </c>
      <c r="F20" s="265">
        <v>39200</v>
      </c>
    </row>
    <row r="21" spans="2:14" ht="15" customHeight="1" x14ac:dyDescent="0.25">
      <c r="D21" s="264" t="s">
        <v>1519</v>
      </c>
      <c r="E21" s="264" t="s">
        <v>1520</v>
      </c>
      <c r="F21" s="265">
        <v>3100000</v>
      </c>
    </row>
    <row r="22" spans="2:14" ht="15" customHeight="1" x14ac:dyDescent="0.25">
      <c r="D22" s="264" t="s">
        <v>1521</v>
      </c>
      <c r="E22" s="264" t="s">
        <v>1522</v>
      </c>
      <c r="F22" s="265">
        <v>232637</v>
      </c>
    </row>
    <row r="23" spans="2:14" ht="15" customHeight="1" x14ac:dyDescent="0.25">
      <c r="D23" s="264" t="s">
        <v>1523</v>
      </c>
      <c r="E23" s="264" t="s">
        <v>1524</v>
      </c>
      <c r="F23" s="265">
        <v>9724</v>
      </c>
    </row>
    <row r="24" spans="2:14" ht="15" customHeight="1" x14ac:dyDescent="0.25">
      <c r="D24" s="264" t="s">
        <v>1525</v>
      </c>
      <c r="E24" s="264" t="s">
        <v>1526</v>
      </c>
      <c r="F24" s="265">
        <v>175112</v>
      </c>
    </row>
    <row r="25" spans="2:14" ht="15" customHeight="1" x14ac:dyDescent="0.25">
      <c r="D25" s="264" t="s">
        <v>1527</v>
      </c>
      <c r="E25" s="264" t="s">
        <v>1528</v>
      </c>
      <c r="F25" s="265">
        <v>191252.65</v>
      </c>
    </row>
    <row r="26" spans="2:14" ht="15" customHeight="1" x14ac:dyDescent="0.25">
      <c r="D26" s="262" t="s">
        <v>424</v>
      </c>
      <c r="E26" s="262" t="s">
        <v>424</v>
      </c>
      <c r="F26" s="262" t="s">
        <v>424</v>
      </c>
    </row>
    <row r="27" spans="2:14" ht="15.75" customHeight="1" x14ac:dyDescent="0.25">
      <c r="B27" s="262" t="s">
        <v>424</v>
      </c>
      <c r="E27" s="266" t="s">
        <v>1529</v>
      </c>
      <c r="F27" s="267">
        <f>SUM(F17:F26)</f>
        <v>5046557.66</v>
      </c>
      <c r="N27" s="262" t="s">
        <v>424</v>
      </c>
    </row>
    <row r="28" spans="2:14" ht="15" customHeight="1" x14ac:dyDescent="0.25">
      <c r="N28" s="262" t="s">
        <v>424</v>
      </c>
    </row>
    <row r="29" spans="2:14" ht="15" customHeight="1" x14ac:dyDescent="0.25">
      <c r="B29" s="262" t="s">
        <v>424</v>
      </c>
      <c r="C29" s="262" t="s">
        <v>424</v>
      </c>
      <c r="D29" s="264" t="s">
        <v>1530</v>
      </c>
      <c r="E29" s="264" t="s">
        <v>1531</v>
      </c>
      <c r="F29" s="265">
        <v>800000</v>
      </c>
    </row>
    <row r="30" spans="2:14" ht="15" customHeight="1" x14ac:dyDescent="0.25">
      <c r="C30" s="262" t="s">
        <v>424</v>
      </c>
      <c r="D30" s="264" t="s">
        <v>1532</v>
      </c>
      <c r="E30" s="264" t="s">
        <v>1533</v>
      </c>
      <c r="F30" s="265">
        <v>21180041.039999999</v>
      </c>
    </row>
    <row r="31" spans="2:14" ht="15" customHeight="1" x14ac:dyDescent="0.25">
      <c r="C31" s="262" t="s">
        <v>424</v>
      </c>
      <c r="L31" s="262" t="s">
        <v>424</v>
      </c>
    </row>
    <row r="32" spans="2:14" ht="15" customHeight="1" x14ac:dyDescent="0.25">
      <c r="C32" s="262" t="s">
        <v>424</v>
      </c>
    </row>
    <row r="33" spans="4:7" ht="15.75" customHeight="1" x14ac:dyDescent="0.25">
      <c r="E33" s="266" t="s">
        <v>1534</v>
      </c>
      <c r="F33" s="267">
        <f>SUM(F29:F32)</f>
        <v>21980041.039999999</v>
      </c>
    </row>
    <row r="34" spans="4:7" ht="15" customHeight="1" x14ac:dyDescent="0.25">
      <c r="G34" s="262" t="s">
        <v>424</v>
      </c>
    </row>
    <row r="37" spans="4:7" ht="15.75" customHeight="1" x14ac:dyDescent="0.25">
      <c r="E37" s="266" t="s">
        <v>1535</v>
      </c>
      <c r="F37" s="267">
        <f>F27+F33</f>
        <v>27026598.699999999</v>
      </c>
    </row>
    <row r="39" spans="4:7" ht="15" customHeight="1" x14ac:dyDescent="0.25">
      <c r="D39" s="262" t="s">
        <v>1501</v>
      </c>
      <c r="F39" s="262" t="s">
        <v>1502</v>
      </c>
    </row>
    <row r="40" spans="4:7" ht="15" customHeight="1" x14ac:dyDescent="0.25">
      <c r="D40" s="262" t="s">
        <v>1503</v>
      </c>
      <c r="F40" s="262" t="s">
        <v>1504</v>
      </c>
    </row>
    <row r="44" spans="4:7" ht="15" customHeight="1" x14ac:dyDescent="0.25">
      <c r="D44" s="270"/>
      <c r="E44" s="270" t="s">
        <v>1505</v>
      </c>
      <c r="F44" s="270"/>
      <c r="G44" s="270"/>
    </row>
    <row r="45" spans="4:7" ht="15" customHeight="1" x14ac:dyDescent="0.25">
      <c r="D45" s="270"/>
      <c r="E45" s="270" t="s">
        <v>1506</v>
      </c>
      <c r="F45" s="270"/>
      <c r="G45" s="270"/>
    </row>
  </sheetData>
  <mergeCells count="1">
    <mergeCell ref="D12:F12"/>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Notas Explicativas </vt:lpstr>
      <vt:lpstr>Invetario </vt:lpstr>
      <vt:lpstr>Balance Proveedor</vt:lpstr>
      <vt:lpstr>'Notas Explicativas '!_Toc208202813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2025-07-09T13:21:41Z</dcterms:created>
  <dcterms:modified xsi:type="dcterms:W3CDTF">2025-07-15T14:49:31Z</dcterms:modified>
</cp:coreProperties>
</file>