
<file path=[Content_Types].xml><?xml version="1.0" encoding="utf-8"?>
<Types xmlns="http://schemas.openxmlformats.org/package/2006/content-type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18915" windowHeight="11070"/>
  </bookViews>
  <sheets>
    <sheet name="Hoja1" sheetId="1" r:id="rId1"/>
    <sheet name="Hoja2" sheetId="2" r:id="rId2"/>
    <sheet name="Hoja3" sheetId="3" r:id="rId3"/>
  </sheets>
  <externalReferences>
    <externalReference r:id="rId4"/>
  </externalReferences>
  <definedNames>
    <definedName name="_Toc208202813" localSheetId="0">Hoja1!$B$111</definedName>
  </definedNames>
  <calcPr calcId="145621"/>
</workbook>
</file>

<file path=xl/calcChain.xml><?xml version="1.0" encoding="utf-8"?>
<calcChain xmlns="http://schemas.openxmlformats.org/spreadsheetml/2006/main">
  <c r="C651" i="1" l="1"/>
  <c r="D645" i="1"/>
  <c r="D651" i="1" s="1"/>
  <c r="D652" i="1" s="1"/>
  <c r="D628" i="1" s="1"/>
  <c r="D644" i="1"/>
  <c r="D641" i="1"/>
  <c r="C641" i="1"/>
  <c r="C644" i="1" s="1"/>
  <c r="C652" i="1" s="1"/>
  <c r="B636" i="1"/>
  <c r="D627" i="1"/>
  <c r="D629" i="1" s="1"/>
  <c r="B626" i="1"/>
  <c r="B637" i="1" s="1"/>
  <c r="B623" i="1"/>
  <c r="D616" i="1"/>
  <c r="D617" i="1" s="1"/>
  <c r="C616" i="1"/>
  <c r="E616" i="1" s="1"/>
  <c r="D615" i="1"/>
  <c r="C615" i="1"/>
  <c r="C617" i="1" s="1"/>
  <c r="C618" i="1" s="1"/>
  <c r="D614" i="1"/>
  <c r="D626" i="1" s="1"/>
  <c r="D637" i="1" s="1"/>
  <c r="B614" i="1"/>
  <c r="B612" i="1"/>
  <c r="E603" i="1"/>
  <c r="D603" i="1"/>
  <c r="C603" i="1"/>
  <c r="D602" i="1"/>
  <c r="C602" i="1"/>
  <c r="E602" i="1" s="1"/>
  <c r="D601" i="1"/>
  <c r="C601" i="1"/>
  <c r="E601" i="1" s="1"/>
  <c r="E600" i="1"/>
  <c r="D600" i="1"/>
  <c r="C600" i="1"/>
  <c r="E599" i="1"/>
  <c r="D599" i="1"/>
  <c r="C599" i="1"/>
  <c r="D598" i="1"/>
  <c r="C598" i="1"/>
  <c r="E598" i="1" s="1"/>
  <c r="D597" i="1"/>
  <c r="C597" i="1"/>
  <c r="E597" i="1" s="1"/>
  <c r="E596" i="1"/>
  <c r="D596" i="1"/>
  <c r="C596" i="1"/>
  <c r="E595" i="1"/>
  <c r="E604" i="1" s="1"/>
  <c r="E606" i="1" s="1"/>
  <c r="D606" i="1" s="1"/>
  <c r="D595" i="1"/>
  <c r="D604" i="1" s="1"/>
  <c r="C595" i="1"/>
  <c r="C604" i="1" s="1"/>
  <c r="C605" i="1" s="1"/>
  <c r="D594" i="1"/>
  <c r="C594" i="1"/>
  <c r="C614" i="1" s="1"/>
  <c r="C626" i="1" s="1"/>
  <c r="B592" i="1"/>
  <c r="E581" i="1"/>
  <c r="D579" i="1"/>
  <c r="C579" i="1"/>
  <c r="D578" i="1"/>
  <c r="C578" i="1"/>
  <c r="B576" i="1"/>
  <c r="D568" i="1"/>
  <c r="C568" i="1"/>
  <c r="E568" i="1" s="1"/>
  <c r="D567" i="1"/>
  <c r="AA567" i="1" s="1"/>
  <c r="C567" i="1"/>
  <c r="E567" i="1" s="1"/>
  <c r="D566" i="1"/>
  <c r="AA566" i="1" s="1"/>
  <c r="C566" i="1"/>
  <c r="E566" i="1" s="1"/>
  <c r="D565" i="1"/>
  <c r="AA565" i="1" s="1"/>
  <c r="C565" i="1"/>
  <c r="E565" i="1" s="1"/>
  <c r="D564" i="1"/>
  <c r="AA564" i="1" s="1"/>
  <c r="C564" i="1"/>
  <c r="E564" i="1" s="1"/>
  <c r="D563" i="1"/>
  <c r="AA563" i="1" s="1"/>
  <c r="C563" i="1"/>
  <c r="E563" i="1" s="1"/>
  <c r="D562" i="1"/>
  <c r="D569" i="1" s="1"/>
  <c r="C562" i="1"/>
  <c r="C569" i="1" s="1"/>
  <c r="C570" i="1" s="1"/>
  <c r="D561" i="1"/>
  <c r="D549" i="1" s="1"/>
  <c r="C561" i="1"/>
  <c r="B559" i="1"/>
  <c r="E550" i="1"/>
  <c r="D550" i="1"/>
  <c r="D552" i="1" s="1"/>
  <c r="C550" i="1"/>
  <c r="C552" i="1" s="1"/>
  <c r="C549" i="1"/>
  <c r="B547" i="1"/>
  <c r="E529" i="1"/>
  <c r="D529" i="1"/>
  <c r="C529" i="1"/>
  <c r="E528" i="1"/>
  <c r="D528" i="1"/>
  <c r="C528" i="1"/>
  <c r="D527" i="1"/>
  <c r="C527" i="1"/>
  <c r="E527" i="1" s="1"/>
  <c r="D526" i="1"/>
  <c r="C526" i="1"/>
  <c r="E526" i="1" s="1"/>
  <c r="E525" i="1"/>
  <c r="D525" i="1"/>
  <c r="C525" i="1"/>
  <c r="E524" i="1"/>
  <c r="D524" i="1"/>
  <c r="C524" i="1"/>
  <c r="D523" i="1"/>
  <c r="C523" i="1"/>
  <c r="E523" i="1" s="1"/>
  <c r="D522" i="1"/>
  <c r="C522" i="1"/>
  <c r="E522" i="1" s="1"/>
  <c r="D521" i="1"/>
  <c r="C521" i="1"/>
  <c r="E521" i="1" s="1"/>
  <c r="J520" i="1"/>
  <c r="D520" i="1"/>
  <c r="D530" i="1" s="1"/>
  <c r="C520" i="1"/>
  <c r="C530" i="1" s="1"/>
  <c r="L519" i="1"/>
  <c r="L521" i="1" s="1"/>
  <c r="K519" i="1"/>
  <c r="D519" i="1"/>
  <c r="C519" i="1"/>
  <c r="B519" i="1"/>
  <c r="L518" i="1"/>
  <c r="L517" i="1"/>
  <c r="K517" i="1"/>
  <c r="B517" i="1"/>
  <c r="K516" i="1"/>
  <c r="K515" i="1"/>
  <c r="E512" i="1"/>
  <c r="D512" i="1"/>
  <c r="C512" i="1"/>
  <c r="E511" i="1"/>
  <c r="D511" i="1"/>
  <c r="C511" i="1"/>
  <c r="E510" i="1"/>
  <c r="D510" i="1"/>
  <c r="C510" i="1"/>
  <c r="E509" i="1"/>
  <c r="D509" i="1"/>
  <c r="C509" i="1"/>
  <c r="E508" i="1"/>
  <c r="D508" i="1"/>
  <c r="C508" i="1"/>
  <c r="E507" i="1"/>
  <c r="D507" i="1"/>
  <c r="C507" i="1"/>
  <c r="E506" i="1"/>
  <c r="D506" i="1"/>
  <c r="C506" i="1"/>
  <c r="E505" i="1"/>
  <c r="D505" i="1"/>
  <c r="C505" i="1"/>
  <c r="E504" i="1"/>
  <c r="D504" i="1"/>
  <c r="C504" i="1"/>
  <c r="E503" i="1"/>
  <c r="D503" i="1"/>
  <c r="C503" i="1"/>
  <c r="E502" i="1"/>
  <c r="D502" i="1"/>
  <c r="C502" i="1"/>
  <c r="E501" i="1"/>
  <c r="E513" i="1" s="1"/>
  <c r="D501" i="1"/>
  <c r="D513" i="1" s="1"/>
  <c r="C501" i="1"/>
  <c r="C513" i="1" s="1"/>
  <c r="V494" i="1"/>
  <c r="U494" i="1"/>
  <c r="S494" i="1"/>
  <c r="T494" i="1" s="1"/>
  <c r="R494" i="1" s="1"/>
  <c r="T493" i="1"/>
  <c r="S493" i="1"/>
  <c r="W493" i="1" s="1"/>
  <c r="V492" i="1"/>
  <c r="U492" i="1"/>
  <c r="S492" i="1"/>
  <c r="T492" i="1" s="1"/>
  <c r="S491" i="1"/>
  <c r="V491" i="1" s="1"/>
  <c r="V490" i="1"/>
  <c r="U490" i="1"/>
  <c r="T490" i="1"/>
  <c r="R490" i="1" s="1"/>
  <c r="S490" i="1"/>
  <c r="V489" i="1"/>
  <c r="U489" i="1"/>
  <c r="T489" i="1"/>
  <c r="S489" i="1"/>
  <c r="R489" i="1" s="1"/>
  <c r="T488" i="1"/>
  <c r="S488" i="1"/>
  <c r="N485" i="1"/>
  <c r="N487" i="1" s="1"/>
  <c r="C485" i="1"/>
  <c r="C486" i="1" s="1"/>
  <c r="V484" i="1"/>
  <c r="S484" i="1"/>
  <c r="C484" i="1"/>
  <c r="U484" i="1" s="1"/>
  <c r="V483" i="1"/>
  <c r="U483" i="1"/>
  <c r="E483" i="1"/>
  <c r="D483" i="1"/>
  <c r="V488" i="1" s="1"/>
  <c r="C483" i="1"/>
  <c r="T483" i="1" s="1"/>
  <c r="D482" i="1"/>
  <c r="C482" i="1"/>
  <c r="B481" i="1"/>
  <c r="B478" i="1"/>
  <c r="D471" i="1"/>
  <c r="D470" i="1"/>
  <c r="C470" i="1"/>
  <c r="D469" i="1"/>
  <c r="B464" i="1"/>
  <c r="AA453" i="1"/>
  <c r="X453" i="1"/>
  <c r="AA452" i="1"/>
  <c r="D451" i="1"/>
  <c r="D452" i="1" s="1"/>
  <c r="C451" i="1"/>
  <c r="C450" i="1"/>
  <c r="E450" i="1" s="1"/>
  <c r="C449" i="1"/>
  <c r="E449" i="1" s="1"/>
  <c r="D448" i="1"/>
  <c r="C448" i="1"/>
  <c r="D447" i="1"/>
  <c r="C447" i="1"/>
  <c r="B444" i="1"/>
  <c r="AA437" i="1"/>
  <c r="Y437" i="1"/>
  <c r="X437" i="1"/>
  <c r="W437" i="1"/>
  <c r="AA436" i="1"/>
  <c r="D435" i="1"/>
  <c r="C435" i="1"/>
  <c r="E435" i="1" s="1"/>
  <c r="E434" i="1"/>
  <c r="D434" i="1"/>
  <c r="C434" i="1"/>
  <c r="D433" i="1"/>
  <c r="E433" i="1" s="1"/>
  <c r="C433" i="1"/>
  <c r="D432" i="1"/>
  <c r="C432" i="1"/>
  <c r="D431" i="1"/>
  <c r="C431" i="1"/>
  <c r="E431" i="1" s="1"/>
  <c r="E430" i="1"/>
  <c r="D430" i="1"/>
  <c r="C430" i="1"/>
  <c r="D429" i="1"/>
  <c r="D436" i="1" s="1"/>
  <c r="C429" i="1"/>
  <c r="B424" i="1"/>
  <c r="D419" i="1"/>
  <c r="C419" i="1"/>
  <c r="U419" i="1" s="1"/>
  <c r="D417" i="1"/>
  <c r="C417" i="1"/>
  <c r="E417" i="1" s="1"/>
  <c r="E416" i="1"/>
  <c r="D416" i="1"/>
  <c r="C416" i="1"/>
  <c r="B412" i="1"/>
  <c r="C394" i="1"/>
  <c r="E393" i="1"/>
  <c r="E394" i="1" s="1"/>
  <c r="E396" i="1" s="1"/>
  <c r="D396" i="1" s="1"/>
  <c r="D393" i="1"/>
  <c r="D394" i="1" s="1"/>
  <c r="C393" i="1"/>
  <c r="E382" i="1"/>
  <c r="D382" i="1"/>
  <c r="C382" i="1"/>
  <c r="C381" i="1"/>
  <c r="E381" i="1" s="1"/>
  <c r="D380" i="1"/>
  <c r="D383" i="1" s="1"/>
  <c r="D379" i="1"/>
  <c r="C379" i="1"/>
  <c r="B375" i="1"/>
  <c r="D362" i="1"/>
  <c r="D580" i="1" s="1"/>
  <c r="D582" i="1" s="1"/>
  <c r="D583" i="1" s="1"/>
  <c r="C362" i="1"/>
  <c r="E361" i="1"/>
  <c r="D361" i="1"/>
  <c r="C361" i="1"/>
  <c r="C363" i="1" s="1"/>
  <c r="D360" i="1"/>
  <c r="C360" i="1"/>
  <c r="B357" i="1"/>
  <c r="D313" i="1"/>
  <c r="E313" i="1" s="1"/>
  <c r="C313" i="1"/>
  <c r="E310" i="1"/>
  <c r="D309" i="1"/>
  <c r="D311" i="1" s="1"/>
  <c r="C309" i="1"/>
  <c r="C311" i="1" s="1"/>
  <c r="E308" i="1"/>
  <c r="E307" i="1"/>
  <c r="E306" i="1"/>
  <c r="E309" i="1" s="1"/>
  <c r="E311" i="1" s="1"/>
  <c r="E303" i="1"/>
  <c r="D302" i="1"/>
  <c r="D304" i="1" s="1"/>
  <c r="C302" i="1"/>
  <c r="C304" i="1" s="1"/>
  <c r="E301" i="1"/>
  <c r="E302" i="1" s="1"/>
  <c r="E304" i="1" s="1"/>
  <c r="E300" i="1"/>
  <c r="E298" i="1"/>
  <c r="F297" i="1"/>
  <c r="C295" i="1"/>
  <c r="C294" i="1"/>
  <c r="E292" i="1"/>
  <c r="D292" i="1"/>
  <c r="C292" i="1"/>
  <c r="E291" i="1"/>
  <c r="E296" i="1" s="1"/>
  <c r="D291" i="1"/>
  <c r="D296" i="1" s="1"/>
  <c r="C291" i="1"/>
  <c r="C296" i="1" s="1"/>
  <c r="E286" i="1"/>
  <c r="D285" i="1"/>
  <c r="E285" i="1" s="1"/>
  <c r="C285" i="1"/>
  <c r="D284" i="1"/>
  <c r="E284" i="1" s="1"/>
  <c r="C284" i="1"/>
  <c r="E281" i="1"/>
  <c r="D280" i="1"/>
  <c r="D282" i="1" s="1"/>
  <c r="C280" i="1"/>
  <c r="C282" i="1" s="1"/>
  <c r="C289" i="1" s="1"/>
  <c r="E279" i="1"/>
  <c r="E278" i="1"/>
  <c r="E280" i="1" s="1"/>
  <c r="E277" i="1"/>
  <c r="C273" i="1"/>
  <c r="C272" i="1"/>
  <c r="E271" i="1"/>
  <c r="D270" i="1"/>
  <c r="C270" i="1" s="1"/>
  <c r="D269" i="1"/>
  <c r="D274" i="1" s="1"/>
  <c r="D276" i="1" s="1"/>
  <c r="E266" i="1"/>
  <c r="C264" i="1"/>
  <c r="E262" i="1"/>
  <c r="D261" i="1"/>
  <c r="E261" i="1" s="1"/>
  <c r="C260" i="1"/>
  <c r="C265" i="1" s="1"/>
  <c r="C267" i="1" s="1"/>
  <c r="E257" i="1"/>
  <c r="C255" i="1"/>
  <c r="B255" i="1"/>
  <c r="B264" i="1" s="1"/>
  <c r="B273" i="1" s="1"/>
  <c r="B288" i="1" s="1"/>
  <c r="B295" i="1" s="1"/>
  <c r="C254" i="1"/>
  <c r="B254" i="1"/>
  <c r="B263" i="1" s="1"/>
  <c r="B272" i="1" s="1"/>
  <c r="B287" i="1" s="1"/>
  <c r="B294" i="1" s="1"/>
  <c r="E253" i="1"/>
  <c r="B253" i="1"/>
  <c r="B262" i="1" s="1"/>
  <c r="B271" i="1" s="1"/>
  <c r="B286" i="1" s="1"/>
  <c r="B293" i="1" s="1"/>
  <c r="D252" i="1"/>
  <c r="E252" i="1" s="1"/>
  <c r="B252" i="1"/>
  <c r="B261" i="1" s="1"/>
  <c r="B270" i="1" s="1"/>
  <c r="B285" i="1" s="1"/>
  <c r="B292" i="1" s="1"/>
  <c r="E251" i="1"/>
  <c r="E256" i="1" s="1"/>
  <c r="E258" i="1" s="1"/>
  <c r="D251" i="1"/>
  <c r="D256" i="1" s="1"/>
  <c r="D258" i="1" s="1"/>
  <c r="C251" i="1"/>
  <c r="C256" i="1" s="1"/>
  <c r="C258" i="1" s="1"/>
  <c r="B251" i="1"/>
  <c r="B260" i="1" s="1"/>
  <c r="B269" i="1" s="1"/>
  <c r="B284" i="1" s="1"/>
  <c r="B291" i="1" s="1"/>
  <c r="E248" i="1"/>
  <c r="C246" i="1"/>
  <c r="C245" i="1"/>
  <c r="E244" i="1"/>
  <c r="E242" i="1"/>
  <c r="C243" i="1" s="1"/>
  <c r="E243" i="1" s="1"/>
  <c r="D242" i="1"/>
  <c r="D247" i="1" s="1"/>
  <c r="D249" i="1" s="1"/>
  <c r="C242" i="1"/>
  <c r="D239" i="1"/>
  <c r="C239" i="1"/>
  <c r="B238" i="1"/>
  <c r="B235" i="1"/>
  <c r="E210" i="1"/>
  <c r="C209" i="1"/>
  <c r="E206" i="1"/>
  <c r="E204" i="1"/>
  <c r="E203" i="1"/>
  <c r="E202" i="1"/>
  <c r="E201" i="1"/>
  <c r="E200" i="1"/>
  <c r="E199" i="1"/>
  <c r="E198" i="1"/>
  <c r="E207" i="1" s="1"/>
  <c r="B194" i="1"/>
  <c r="U188" i="1"/>
  <c r="D187" i="1"/>
  <c r="T188" i="1" s="1"/>
  <c r="E186" i="1"/>
  <c r="D186" i="1"/>
  <c r="C182" i="1" s="1"/>
  <c r="C186" i="1"/>
  <c r="C187" i="1" s="1"/>
  <c r="D184" i="1"/>
  <c r="D182" i="1" s="1"/>
  <c r="C184" i="1"/>
  <c r="E184" i="1" s="1"/>
  <c r="D183" i="1"/>
  <c r="D181" i="1"/>
  <c r="B178" i="1"/>
  <c r="B170" i="1"/>
  <c r="C168" i="1"/>
  <c r="C169" i="1" s="1"/>
  <c r="D167" i="1"/>
  <c r="E167" i="1" s="1"/>
  <c r="C167" i="1"/>
  <c r="E166" i="1"/>
  <c r="E168" i="1" s="1"/>
  <c r="E170" i="1" s="1"/>
  <c r="D170" i="1" s="1"/>
  <c r="D166" i="1"/>
  <c r="D168" i="1" s="1"/>
  <c r="C166" i="1"/>
  <c r="D165" i="1"/>
  <c r="C165" i="1"/>
  <c r="C181" i="1" s="1"/>
  <c r="B162" i="1"/>
  <c r="B156" i="1"/>
  <c r="D153" i="1"/>
  <c r="D154" i="1" s="1"/>
  <c r="C153" i="1"/>
  <c r="E153" i="1" s="1"/>
  <c r="D151" i="1"/>
  <c r="D209" i="1" s="1"/>
  <c r="C151" i="1"/>
  <c r="B148" i="1"/>
  <c r="B144" i="1"/>
  <c r="C142" i="1"/>
  <c r="S142" i="1" s="1"/>
  <c r="D141" i="1"/>
  <c r="U142" i="1" s="1"/>
  <c r="C141" i="1"/>
  <c r="T142" i="1" s="1"/>
  <c r="D140" i="1"/>
  <c r="C140" i="1"/>
  <c r="E140" i="1" s="1"/>
  <c r="D139" i="1"/>
  <c r="D468" i="1" s="1"/>
  <c r="C139" i="1"/>
  <c r="C468" i="1" s="1"/>
  <c r="B136" i="1"/>
  <c r="B389" i="1" s="1"/>
  <c r="X127" i="1"/>
  <c r="D125" i="1"/>
  <c r="C125" i="1"/>
  <c r="D124" i="1"/>
  <c r="C124" i="1"/>
  <c r="E124" i="1" s="1"/>
  <c r="D123" i="1"/>
  <c r="E123" i="1" s="1"/>
  <c r="C123" i="1"/>
  <c r="E122" i="1"/>
  <c r="D122" i="1"/>
  <c r="C122" i="1"/>
  <c r="D121" i="1"/>
  <c r="C121" i="1"/>
  <c r="E121" i="1" s="1"/>
  <c r="D120" i="1"/>
  <c r="C120" i="1"/>
  <c r="E120" i="1" s="1"/>
  <c r="D119" i="1"/>
  <c r="E119" i="1" s="1"/>
  <c r="C119" i="1"/>
  <c r="D118" i="1"/>
  <c r="C118" i="1"/>
  <c r="E118" i="1" s="1"/>
  <c r="D117" i="1"/>
  <c r="C117" i="1"/>
  <c r="B112" i="1"/>
  <c r="B14" i="1"/>
  <c r="C269" i="1" l="1"/>
  <c r="E270" i="1"/>
  <c r="T155" i="1"/>
  <c r="S155" i="1"/>
  <c r="V155" i="1"/>
  <c r="U155" i="1"/>
  <c r="E282" i="1"/>
  <c r="E289" i="1"/>
  <c r="E297" i="1" s="1"/>
  <c r="E299" i="1" s="1"/>
  <c r="S363" i="1"/>
  <c r="U363" i="1"/>
  <c r="T363" i="1"/>
  <c r="S384" i="1"/>
  <c r="V384" i="1"/>
  <c r="T384" i="1"/>
  <c r="U384" i="1"/>
  <c r="D297" i="1"/>
  <c r="E126" i="1"/>
  <c r="C188" i="1"/>
  <c r="U187" i="1"/>
  <c r="E187" i="1"/>
  <c r="E189" i="1" s="1"/>
  <c r="D189" i="1" s="1"/>
  <c r="T187" i="1"/>
  <c r="S187" i="1"/>
  <c r="C247" i="1"/>
  <c r="C249" i="1" s="1"/>
  <c r="D211" i="1"/>
  <c r="D212" i="1" s="1"/>
  <c r="C211" i="1"/>
  <c r="E208" i="1"/>
  <c r="D440" i="1"/>
  <c r="T437" i="1"/>
  <c r="AB437" i="1"/>
  <c r="U437" i="1"/>
  <c r="V437" i="1"/>
  <c r="R142" i="1"/>
  <c r="U169" i="1"/>
  <c r="T169" i="1"/>
  <c r="S169" i="1"/>
  <c r="V169" i="1"/>
  <c r="C183" i="1"/>
  <c r="E183" i="1" s="1"/>
  <c r="E182" i="1"/>
  <c r="C297" i="1"/>
  <c r="B584" i="1"/>
  <c r="B532" i="1"/>
  <c r="B488" i="1"/>
  <c r="B619" i="1"/>
  <c r="B571" i="1"/>
  <c r="B454" i="1"/>
  <c r="B438" i="1"/>
  <c r="B385" i="1"/>
  <c r="B631" i="1"/>
  <c r="B606" i="1"/>
  <c r="B554" i="1"/>
  <c r="B473" i="1"/>
  <c r="C126" i="1"/>
  <c r="B128" i="1"/>
  <c r="E141" i="1"/>
  <c r="E142" i="1" s="1"/>
  <c r="C143" i="1"/>
  <c r="C152" i="1"/>
  <c r="T168" i="1"/>
  <c r="B189" i="1"/>
  <c r="B214" i="1"/>
  <c r="D260" i="1"/>
  <c r="D289" i="1"/>
  <c r="C580" i="1"/>
  <c r="E580" i="1" s="1"/>
  <c r="D363" i="1"/>
  <c r="C380" i="1"/>
  <c r="D392" i="1"/>
  <c r="C415" i="1"/>
  <c r="E419" i="1"/>
  <c r="E421" i="1" s="1"/>
  <c r="D421" i="1" s="1"/>
  <c r="U420" i="1"/>
  <c r="T420" i="1"/>
  <c r="S420" i="1"/>
  <c r="E429" i="1"/>
  <c r="C436" i="1"/>
  <c r="C420" i="1" s="1"/>
  <c r="E451" i="1"/>
  <c r="C553" i="1"/>
  <c r="E552" i="1"/>
  <c r="E554" i="1" s="1"/>
  <c r="D554" i="1" s="1"/>
  <c r="D126" i="1"/>
  <c r="U168" i="1"/>
  <c r="S188" i="1"/>
  <c r="R188" i="1" s="1"/>
  <c r="E247" i="1"/>
  <c r="E249" i="1" s="1"/>
  <c r="D415" i="1"/>
  <c r="D428" i="1" s="1"/>
  <c r="T419" i="1"/>
  <c r="B421" i="1"/>
  <c r="W453" i="1"/>
  <c r="S453" i="1"/>
  <c r="V453" i="1"/>
  <c r="U453" i="1"/>
  <c r="D453" i="1"/>
  <c r="E470" i="1"/>
  <c r="C469" i="1"/>
  <c r="C487" i="1"/>
  <c r="S486" i="1"/>
  <c r="V486" i="1"/>
  <c r="U486" i="1"/>
  <c r="T486" i="1"/>
  <c r="C531" i="1"/>
  <c r="E532" i="1"/>
  <c r="D532" i="1" s="1"/>
  <c r="V630" i="1"/>
  <c r="U630" i="1"/>
  <c r="T630" i="1"/>
  <c r="S630" i="1"/>
  <c r="D142" i="1"/>
  <c r="V168" i="1"/>
  <c r="B316" i="1"/>
  <c r="E362" i="1"/>
  <c r="E363" i="1" s="1"/>
  <c r="B365" i="1"/>
  <c r="E432" i="1"/>
  <c r="T453" i="1"/>
  <c r="S168" i="1"/>
  <c r="R168" i="1" s="1"/>
  <c r="C392" i="1"/>
  <c r="B390" i="1" s="1"/>
  <c r="V419" i="1"/>
  <c r="C452" i="1"/>
  <c r="E448" i="1"/>
  <c r="E452" i="1" s="1"/>
  <c r="E454" i="1" s="1"/>
  <c r="D454" i="1" s="1"/>
  <c r="V472" i="1"/>
  <c r="U472" i="1"/>
  <c r="T472" i="1"/>
  <c r="S472" i="1"/>
  <c r="C582" i="1"/>
  <c r="C583" i="1" s="1"/>
  <c r="C637" i="1"/>
  <c r="C628" i="1"/>
  <c r="E628" i="1" s="1"/>
  <c r="S483" i="1"/>
  <c r="R483" i="1" s="1"/>
  <c r="T484" i="1"/>
  <c r="R484" i="1" s="1"/>
  <c r="E485" i="1"/>
  <c r="T485" i="1"/>
  <c r="D486" i="1"/>
  <c r="U488" i="1"/>
  <c r="R488" i="1" s="1"/>
  <c r="T491" i="1"/>
  <c r="R491" i="1" s="1"/>
  <c r="W492" i="1"/>
  <c r="R492" i="1" s="1"/>
  <c r="U493" i="1"/>
  <c r="R493" i="1" s="1"/>
  <c r="E562" i="1"/>
  <c r="E569" i="1" s="1"/>
  <c r="E571" i="1" s="1"/>
  <c r="D571" i="1" s="1"/>
  <c r="E484" i="1"/>
  <c r="E486" i="1" s="1"/>
  <c r="E488" i="1" s="1"/>
  <c r="D488" i="1" s="1"/>
  <c r="U485" i="1"/>
  <c r="U491" i="1"/>
  <c r="V493" i="1"/>
  <c r="S495" i="1"/>
  <c r="E520" i="1"/>
  <c r="E530" i="1" s="1"/>
  <c r="AA562" i="1"/>
  <c r="E579" i="1"/>
  <c r="E582" i="1" s="1"/>
  <c r="E584" i="1" s="1"/>
  <c r="D584" i="1" s="1"/>
  <c r="E615" i="1"/>
  <c r="E617" i="1" s="1"/>
  <c r="E619" i="1" s="1"/>
  <c r="D619" i="1" s="1"/>
  <c r="C627" i="1"/>
  <c r="V485" i="1"/>
  <c r="S485" i="1"/>
  <c r="R485" i="1" s="1"/>
  <c r="B479" i="1" l="1"/>
  <c r="E144" i="1"/>
  <c r="D144" i="1" s="1"/>
  <c r="U143" i="1"/>
  <c r="T487" i="1"/>
  <c r="S487" i="1"/>
  <c r="V487" i="1"/>
  <c r="U487" i="1"/>
  <c r="T143" i="1"/>
  <c r="S143" i="1"/>
  <c r="C471" i="1"/>
  <c r="E469" i="1"/>
  <c r="E471" i="1" s="1"/>
  <c r="E473" i="1" s="1"/>
  <c r="D473" i="1" s="1"/>
  <c r="R419" i="1"/>
  <c r="B413" i="1" s="1"/>
  <c r="R420" i="1"/>
  <c r="C428" i="1"/>
  <c r="C212" i="1"/>
  <c r="E211" i="1"/>
  <c r="E212" i="1" s="1"/>
  <c r="E214" i="1" s="1"/>
  <c r="D214" i="1" s="1"/>
  <c r="R363" i="1"/>
  <c r="R155" i="1"/>
  <c r="C629" i="1"/>
  <c r="E627" i="1"/>
  <c r="E629" i="1" s="1"/>
  <c r="E631" i="1" s="1"/>
  <c r="D631" i="1" s="1"/>
  <c r="E365" i="1"/>
  <c r="R630" i="1"/>
  <c r="R453" i="1"/>
  <c r="C299" i="1"/>
  <c r="R169" i="1"/>
  <c r="R437" i="1"/>
  <c r="V213" i="1"/>
  <c r="U213" i="1"/>
  <c r="D213" i="1"/>
  <c r="T213" i="1"/>
  <c r="S213" i="1"/>
  <c r="R187" i="1"/>
  <c r="B179" i="1" s="1"/>
  <c r="R384" i="1"/>
  <c r="U495" i="1"/>
  <c r="T495" i="1"/>
  <c r="V495" i="1"/>
  <c r="B491" i="1"/>
  <c r="R472" i="1"/>
  <c r="R486" i="1"/>
  <c r="U127" i="1"/>
  <c r="T127" i="1"/>
  <c r="W127" i="1"/>
  <c r="V127" i="1"/>
  <c r="C440" i="1"/>
  <c r="V436" i="1"/>
  <c r="U436" i="1"/>
  <c r="C437" i="1"/>
  <c r="T436" i="1"/>
  <c r="AB436" i="1"/>
  <c r="E380" i="1"/>
  <c r="E383" i="1" s="1"/>
  <c r="E385" i="1" s="1"/>
  <c r="D385" i="1" s="1"/>
  <c r="C383" i="1"/>
  <c r="D265" i="1"/>
  <c r="D267" i="1" s="1"/>
  <c r="E260" i="1"/>
  <c r="E265" i="1" s="1"/>
  <c r="E267" i="1" s="1"/>
  <c r="C154" i="1"/>
  <c r="E152" i="1"/>
  <c r="E154" i="1" s="1"/>
  <c r="E156" i="1" s="1"/>
  <c r="D156" i="1" s="1"/>
  <c r="E128" i="1"/>
  <c r="D128" i="1" s="1"/>
  <c r="T452" i="1"/>
  <c r="W452" i="1"/>
  <c r="S452" i="1"/>
  <c r="V452" i="1"/>
  <c r="U452" i="1"/>
  <c r="C453" i="1"/>
  <c r="B163" i="1"/>
  <c r="E436" i="1"/>
  <c r="S364" i="1"/>
  <c r="U364" i="1"/>
  <c r="T364" i="1"/>
  <c r="W126" i="1"/>
  <c r="V126" i="1"/>
  <c r="U126" i="1"/>
  <c r="C127" i="1"/>
  <c r="Y127" i="1" s="1"/>
  <c r="T126" i="1"/>
  <c r="D314" i="1"/>
  <c r="D299" i="1"/>
  <c r="D312" i="1" s="1"/>
  <c r="C274" i="1"/>
  <c r="C276" i="1" s="1"/>
  <c r="C314" i="1" s="1"/>
  <c r="E269" i="1"/>
  <c r="E274" i="1" s="1"/>
  <c r="E276" i="1" s="1"/>
  <c r="E312" i="1" s="1"/>
  <c r="E314" i="1" s="1"/>
  <c r="E316" i="1" s="1"/>
  <c r="D316" i="1" s="1"/>
  <c r="R364" i="1" l="1"/>
  <c r="R127" i="1"/>
  <c r="R126" i="1"/>
  <c r="B113" i="1" s="1"/>
  <c r="E438" i="1"/>
  <c r="D438" i="1" s="1"/>
  <c r="R436" i="1"/>
  <c r="B425" i="1" s="1"/>
  <c r="C312" i="1"/>
  <c r="B358" i="1"/>
  <c r="C472" i="1"/>
  <c r="S471" i="1"/>
  <c r="R471" i="1" s="1"/>
  <c r="B465" i="1" s="1"/>
  <c r="V471" i="1"/>
  <c r="U471" i="1"/>
  <c r="T471" i="1"/>
  <c r="R452" i="1"/>
  <c r="B445" i="1" s="1"/>
  <c r="T383" i="1"/>
  <c r="V383" i="1"/>
  <c r="U383" i="1"/>
  <c r="S383" i="1"/>
  <c r="R383" i="1" s="1"/>
  <c r="B376" i="1" s="1"/>
  <c r="R495" i="1"/>
  <c r="B490" i="1" s="1"/>
  <c r="R213" i="1"/>
  <c r="R143" i="1"/>
  <c r="B137" i="1" s="1"/>
  <c r="R487" i="1"/>
  <c r="U154" i="1"/>
  <c r="T154" i="1"/>
  <c r="S154" i="1"/>
  <c r="V154" i="1"/>
  <c r="S629" i="1"/>
  <c r="V629" i="1"/>
  <c r="U629" i="1"/>
  <c r="T629" i="1"/>
  <c r="U212" i="1"/>
  <c r="T212" i="1"/>
  <c r="C213" i="1"/>
  <c r="S212" i="1"/>
  <c r="R212" i="1" s="1"/>
  <c r="B195" i="1" s="1"/>
  <c r="V212" i="1"/>
  <c r="R629" i="1" l="1"/>
  <c r="B624" i="1" s="1"/>
  <c r="R154" i="1"/>
  <c r="B149" i="1" s="1"/>
  <c r="E440" i="1"/>
</calcChain>
</file>

<file path=xl/comments1.xml><?xml version="1.0" encoding="utf-8"?>
<comments xmlns="http://schemas.openxmlformats.org/spreadsheetml/2006/main">
  <authors>
    <author>JUAN J. SANCHEZ</author>
  </authors>
  <commentList>
    <comment ref="C381" authorId="0">
      <text>
        <r>
          <rPr>
            <b/>
            <sz val="9"/>
            <color indexed="81"/>
            <rFont val="Tahoma"/>
            <family val="2"/>
          </rPr>
          <t>JUAN J. SANCHEZ:</t>
        </r>
        <r>
          <rPr>
            <sz val="9"/>
            <color indexed="81"/>
            <rFont val="Tahoma"/>
            <family val="2"/>
          </rPr>
          <t xml:space="preserve">
ayuntamiento y edenorte
</t>
        </r>
      </text>
    </comment>
  </commentList>
</comments>
</file>

<file path=xl/sharedStrings.xml><?xml version="1.0" encoding="utf-8"?>
<sst xmlns="http://schemas.openxmlformats.org/spreadsheetml/2006/main" count="468" uniqueCount="419">
  <si>
    <t>PRINCIPALES PRINCIPIOS Y POLÍTICAS CONTABLES</t>
  </si>
  <si>
    <t>Nota #1</t>
  </si>
  <si>
    <t>Entidad Económica</t>
  </si>
  <si>
    <t>Corporación del Acueducto y Alcantarillado de Moca, CORAAMOCA.</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</si>
  <si>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</si>
  <si>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NOMBRE</t>
  </si>
  <si>
    <t>CARGOS</t>
  </si>
  <si>
    <t>Reynaldo Constantino Méndez Sánchez</t>
  </si>
  <si>
    <t>Director General</t>
  </si>
  <si>
    <t>María Patricia  Almonte de Grullon</t>
  </si>
  <si>
    <t>Directora Administrativa Financiera</t>
  </si>
  <si>
    <t>Heidy Mariel  Colon  Estévez de Jiménez</t>
  </si>
  <si>
    <t>Directora Recursos Humanos</t>
  </si>
  <si>
    <t>Julio  Henríquez Tejada</t>
  </si>
  <si>
    <t xml:space="preserve">Director Gerencia Tecnica </t>
  </si>
  <si>
    <t xml:space="preserve">Jose Gregorio Henriquez </t>
  </si>
  <si>
    <t>Director Comercial</t>
  </si>
  <si>
    <t>Joel Andrés Bautista Gómez</t>
  </si>
  <si>
    <t>Jurídico</t>
  </si>
  <si>
    <t>Stephany Almonte</t>
  </si>
  <si>
    <t>Enc. Dpto Administrativa</t>
  </si>
  <si>
    <t>Nilo Cipriano Tavarez Santiago</t>
  </si>
  <si>
    <t>Enc. de Tecnología</t>
  </si>
  <si>
    <t>Gullermina del Carmen Florentino</t>
  </si>
  <si>
    <t>Enc. Dpto Financiero</t>
  </si>
  <si>
    <t>Robinson Expedito Durán Barcacel</t>
  </si>
  <si>
    <t>Enc. RR PP</t>
  </si>
  <si>
    <t>Juan José Sánchez</t>
  </si>
  <si>
    <t>Enc. Control y Análisis</t>
  </si>
  <si>
    <t>Paula Maileny Morillo Arias</t>
  </si>
  <si>
    <t>Enc. Contabilidad</t>
  </si>
  <si>
    <t>Lucianny Pérez Garcia</t>
  </si>
  <si>
    <t>Enc. Presupuesto</t>
  </si>
  <si>
    <t>Alex Ureña Badía</t>
  </si>
  <si>
    <t>Enc. Planta La Dura</t>
  </si>
  <si>
    <t>Marleny de Jesus Alberto</t>
  </si>
  <si>
    <t>Enc. Compras</t>
  </si>
  <si>
    <t xml:space="preserve">Nota #2 </t>
  </si>
  <si>
    <t xml:space="preserve">Base de presentación </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</si>
  <si>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</si>
  <si>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La Institución presenta su presupuesto aprobado según la base contable de efectivo y los Estados Financieros sobre  la base de acumulación (o devengo) conforme a las estipulaciones de las NICESP 24 “Presentación de Información del Presupuesto en los Estados Financieros”.</t>
  </si>
  <si>
    <t>El presupuesto se aprueba según la base contable de efectivo siguiendo una clasificación de pago por funciones. El presupuesto ejecutado cubre el periodo fiscal que va desde el 1ro. de enero hasta el 31 de diciembre de 2024 y es incluido como información suplementaria en los Estados Financieros y sus Notas, aunque cabe señalar que las informaciones contenidas en los mismos,  corresponden al corte del mes.</t>
  </si>
  <si>
    <t>Nota # 3</t>
  </si>
  <si>
    <t xml:space="preserve">Moneda funcional y de presentación </t>
  </si>
  <si>
    <t>Los Estados Financieros están presentados en pesos dominicanos (RD$) moneda de curso legal en República Dominicana.</t>
  </si>
  <si>
    <t>Nota #4</t>
  </si>
  <si>
    <t>Uso de estimados y Juicios</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</si>
  <si>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</si>
  <si>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</si>
  <si>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Juicios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</si>
  <si>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</si>
  <si>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Supuesto e incertidumbre en las estimaciones</t>
  </si>
  <si>
    <t>La información sobre los supuestos e incertidumbre de estimación que tiene un riesgo significativo de resultar en un ajuste material en los años terminados el 31 de diciembre 2024 y 31de diciembre 2023 se incluye en la Nota referente a compromisos y contingencias; reconocimiento y medición de contingencias; supuestos claves relacionados con la probabilidad y magnitud de una salida de recursos económicos.</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</si>
  <si>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</si>
  <si>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</si>
  <si>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</si>
  <si>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</si>
  <si>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</si>
  <si>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</si>
  <si>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</si>
  <si>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</si>
  <si>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</si>
  <si>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</si>
  <si>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</si>
  <si>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Los Estados Financieros se elaboran sobre la base del costo histórico, sin excepción, en la actualidad los terrenos y edificios están siendo valuados mediante tasaciones realizadas por un experto externo.</t>
  </si>
  <si>
    <t>Instrumentos Financieros</t>
  </si>
  <si>
    <t>Nota #6</t>
  </si>
  <si>
    <t>Resumen de Políticas Contables significativas</t>
  </si>
  <si>
    <t>Aquí se detalla todo lo relacionado con las principales Políticas Contables significativas como podría ser, sin que esta enumeración se considere limitativa.</t>
  </si>
  <si>
    <t>Activos y pasivos financieros no derivados – reconocimiento y baja en cuentas</t>
  </si>
  <si>
    <t>Las cuentas y partidas por cobrar y los otros activos y pasivos financieros,  son reconocidos en el momentos del devengado.</t>
  </si>
  <si>
    <t xml:space="preserve">Activos financieros no derivados – medición </t>
  </si>
  <si>
    <t>Son reconocidos a su valor razonable, más cualquier costo de transacción directamente atribuible o de alguna otra manera.</t>
  </si>
  <si>
    <t xml:space="preserve">Pasivos financieros no derivados – medición </t>
  </si>
  <si>
    <t>Son reconocidos a su valor razonable, menos cualquier costo de transacción directamente atribuible o de alguna otra manera.</t>
  </si>
  <si>
    <t>Inventarios de materiales de oficina</t>
  </si>
  <si>
    <t>La medición es al costo de adquisición.</t>
  </si>
  <si>
    <t>Propiedad, mobiliario y equipos</t>
  </si>
  <si>
    <t xml:space="preserve">Reconocimiento y medición </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</si>
  <si>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</si>
  <si>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</si>
  <si>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razonable,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</si>
  <si>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</si>
  <si>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</si>
  <si>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</si>
  <si>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Reconocimiento de ingresos</t>
  </si>
  <si>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</si>
  <si>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</si>
  <si>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Impuesto sobre la renta </t>
  </si>
  <si>
    <t>Corporación del Acueducto y Alcantarillado de Moca (CORAAMOCA) es una entidad gubernamental sin fines de lucro está exenta de pagar impuesto sobre la renta, pero si funciona como agente de retención.</t>
  </si>
  <si>
    <t>Nota #7</t>
  </si>
  <si>
    <t>Efectivo y equivalentes de efectivo.</t>
  </si>
  <si>
    <t>En la institucion hay seis caja chica , una para compras por valor de RD$80,000.00 y una para compras en la planta la dura por valor de RD$10,000.00, una para menudo por valor de RD$5,000.00 y tres en los centros de sercicios a clientes de Cayetano Germocen, Gaspar Hernandez y Veragua por valor de RD$5,000.00 cada uno.</t>
  </si>
  <si>
    <t>Hay dos cuentas en el sigef y tres cuentas instirucional en el Banreservas</t>
  </si>
  <si>
    <t>DESCRIPCIÓN</t>
  </si>
  <si>
    <t>Diferencia</t>
  </si>
  <si>
    <t>EECTIVO EN CAJA</t>
  </si>
  <si>
    <t>EECTIVO EN CAJA CHICA</t>
  </si>
  <si>
    <t>RESERVAS CTA. 100011701025466 (Progeo)</t>
  </si>
  <si>
    <t>RESERVAS CTA. 100011701027264(Funcional)</t>
  </si>
  <si>
    <t>RESERVAS CTA.100011701024303 (plan de pensión)</t>
  </si>
  <si>
    <t>CUENTA  9604127870 (CUT)</t>
  </si>
  <si>
    <t>CUENTA  9995095001  (CUT)</t>
  </si>
  <si>
    <t xml:space="preserve"> CTA FONDO 100  0100255001 </t>
  </si>
  <si>
    <t>Total Efectivo y equivalentes de efectivo.</t>
  </si>
  <si>
    <t xml:space="preserve"> Nota #8</t>
  </si>
  <si>
    <t>Inversiones a corto plazo</t>
  </si>
  <si>
    <t>Inventarios de Mercancías</t>
  </si>
  <si>
    <t>Deposito a plazo fijo</t>
  </si>
  <si>
    <t>Total Inversiones a corto plazo</t>
  </si>
  <si>
    <t>Nota #9</t>
  </si>
  <si>
    <t>Cuentas por cobrar a corto plazo</t>
  </si>
  <si>
    <t xml:space="preserve"> </t>
  </si>
  <si>
    <t>Cuentas por Cobrar (transferencia del gobierno)</t>
  </si>
  <si>
    <t>Cuentas por Cobrar empleados</t>
  </si>
  <si>
    <t>Total Cuentas y Documentos por Cobrar</t>
  </si>
  <si>
    <t>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t>
  </si>
  <si>
    <t>Nota # 10</t>
  </si>
  <si>
    <t>Inventario</t>
  </si>
  <si>
    <t>Inventarios Materiales y suministros para consumo y prestación de servicios</t>
  </si>
  <si>
    <t>Total en Inventario</t>
  </si>
  <si>
    <t>Nota # 11</t>
  </si>
  <si>
    <t>Pagos anticipados</t>
  </si>
  <si>
    <t>Seguros bienes muebles balance inicial</t>
  </si>
  <si>
    <t>Adquisición de seguros</t>
  </si>
  <si>
    <t>Gasto por seguros consimido</t>
  </si>
  <si>
    <t>Seguros bienes muebles</t>
  </si>
  <si>
    <t>Total Pagos anticipados</t>
  </si>
  <si>
    <t>Nota # 12</t>
  </si>
  <si>
    <t>Otros activos corrientes</t>
  </si>
  <si>
    <t>Centro de  Servicio al Cliente</t>
  </si>
  <si>
    <t>Doc. Sustento</t>
  </si>
  <si>
    <t>Deposito</t>
  </si>
  <si>
    <t>Valor</t>
  </si>
  <si>
    <t>JAMAO AL NORTE</t>
  </si>
  <si>
    <t>C00056565</t>
  </si>
  <si>
    <t>VERAGUA</t>
  </si>
  <si>
    <t>CK0064857</t>
  </si>
  <si>
    <t>JUAN LOPEZ</t>
  </si>
  <si>
    <t>CK0069795</t>
  </si>
  <si>
    <t>LAS LAGUNAS</t>
  </si>
  <si>
    <t>CK0069773</t>
  </si>
  <si>
    <t>CANCA LA REYNA</t>
  </si>
  <si>
    <t>C00047490</t>
  </si>
  <si>
    <t>VILLA TRINA</t>
  </si>
  <si>
    <t>CKC0077938</t>
  </si>
  <si>
    <t>HIGUERITO</t>
  </si>
  <si>
    <t>CKC0070977</t>
  </si>
  <si>
    <t>HINCHA</t>
  </si>
  <si>
    <t>CKC0071686</t>
  </si>
  <si>
    <t>TOTAL DE FIANZA</t>
  </si>
  <si>
    <t xml:space="preserve">Depósitos </t>
  </si>
  <si>
    <t>Total Otros activos corrientes</t>
  </si>
  <si>
    <t xml:space="preserve">Nota # 13 </t>
  </si>
  <si>
    <t>Propiedad planta y equipo</t>
  </si>
  <si>
    <r>
      <t>L</t>
    </r>
    <r>
      <rPr>
        <sz val="11"/>
        <color indexed="8"/>
        <rFont val="Times New Roman"/>
        <family val="1"/>
      </rPr>
      <t>os balances de las cuentas de Propiedad planta y equipo están integrados por los valores históricos registrados.</t>
    </r>
  </si>
  <si>
    <t xml:space="preserve">La depreciación de los activos que ha establecido la DIGECOG es  el  método lineal, la  institución  realizo ajustes de  depreciación en el periodos 2023 para armonizar con bienes nacionales el valor en libro de los bienes mueble, los valores históricos iniciales es diferente en vista de que cuando se implemento el control de bienes en el SIAB no se  partió del valor en libro inicialmente. </t>
  </si>
  <si>
    <t>Ver matriz Anexo libro nota13</t>
  </si>
  <si>
    <t xml:space="preserve">DESCRIPCION </t>
  </si>
  <si>
    <t>ACTIVOS NO FINANCIEROS</t>
  </si>
  <si>
    <t xml:space="preserve">Maquinaria y Equipos de producción </t>
  </si>
  <si>
    <t xml:space="preserve">Costos de adquisición  </t>
  </si>
  <si>
    <t>Adiciones</t>
  </si>
  <si>
    <t>Retiros</t>
  </si>
  <si>
    <t>Depreciación Acumulada</t>
  </si>
  <si>
    <t>Depreciación del periodo</t>
  </si>
  <si>
    <t xml:space="preserve">TOTAL MAQUINARIAS Y EQUIPOS </t>
  </si>
  <si>
    <t>DEPRECIACION MAQUINARIAS Y EQUIPOS</t>
  </si>
  <si>
    <t>TOTAL DE MAQUINARIAS Y EQUIPOS MENOS DEPRECIACION</t>
  </si>
  <si>
    <t>EQUIPO DE TRANSPORTE, TRACCION Y ELEVACION</t>
  </si>
  <si>
    <t>TOTAL EQUIPO DE TRANSPORTE, TRACCION Y ELEVACION</t>
  </si>
  <si>
    <t>DEPRE. EQUIPO DE TRANSP., TRACCION Y ELEVACION</t>
  </si>
  <si>
    <t>TOTAL EQUIPO DE TRANSP., TRACCION Y ELEVACION MENOS DEPRE.</t>
  </si>
  <si>
    <t>EQUIPO DE COMUNICACIÓN Y SEÑALAMIENTO</t>
  </si>
  <si>
    <t>TOTAL EQUIPO DE COMUNICACIÓN Y SEÑALAMIENTO</t>
  </si>
  <si>
    <t>DEPRECIACION EQUIPO DE COM. Y SEÑALAMIENTO</t>
  </si>
  <si>
    <t>TOTAL DE EQUIPO DE COM. Y SEÑAL MENOS DEPRECIACION</t>
  </si>
  <si>
    <t>EQUIPO Y MUEBLES DE OFICINA</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</si>
  <si>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</si>
  <si>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</si>
  <si>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</si>
  <si>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</si>
  <si>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</si>
  <si>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</si>
  <si>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</si>
  <si>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</si>
  <si>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</si>
  <si>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Terreno</t>
  </si>
  <si>
    <t>TOTAL INMUEBLES</t>
  </si>
  <si>
    <t>Edificaciones</t>
  </si>
  <si>
    <t>TOTAL EDIFICACIONES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</si>
  <si>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</si>
  <si>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</si>
  <si>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</si>
  <si>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</si>
  <si>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</si>
  <si>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</si>
  <si>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</si>
  <si>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</si>
  <si>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</si>
  <si>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</si>
  <si>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</si>
  <si>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</si>
  <si>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</si>
  <si>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</si>
  <si>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 xml:space="preserve">TOTAL DE BIENES EN USO </t>
  </si>
  <si>
    <t>TOTAL DEPRECIACION ACUMULADA</t>
  </si>
  <si>
    <t>TOTAL ACTIVOS NO CORRIENTES</t>
  </si>
  <si>
    <t xml:space="preserve">Nota #  14  </t>
  </si>
  <si>
    <t xml:space="preserve">Activos Intangible </t>
  </si>
  <si>
    <t>Programa informaticos (1 año)</t>
  </si>
  <si>
    <t>Amortizacion Programa informaticos</t>
  </si>
  <si>
    <t>Total</t>
  </si>
  <si>
    <t>Nota # 15</t>
  </si>
  <si>
    <t>Cuentas por pagar a corto plazo</t>
  </si>
  <si>
    <t xml:space="preserve"> ** Otras Cuentas por pagar están integrada por  Otro proveedores directo a pagar a corto plazo   cuenta por pagar usos internos por cheques anulados  fuera de fecha.</t>
  </si>
  <si>
    <t xml:space="preserve">   </t>
  </si>
  <si>
    <t>Cuenta</t>
  </si>
  <si>
    <t>VARIACION</t>
  </si>
  <si>
    <t>Cuentas por pagar Suplidores (anexos)</t>
  </si>
  <si>
    <t>Cuentas por pagar Suplidores Gobierno (anexos)</t>
  </si>
  <si>
    <t>Otras Cuentas por pagar **</t>
  </si>
  <si>
    <t>Total Cuentas por pagar a corto plazo</t>
  </si>
  <si>
    <t>Relación de Cuentas por pagar a suplidores anexos</t>
  </si>
  <si>
    <t>Nota # 16 Préstamo a corto plazo</t>
  </si>
  <si>
    <t>Documentos por pagar</t>
  </si>
  <si>
    <t>TOTAL</t>
  </si>
  <si>
    <t>Cambio porcentual con relación al 2022</t>
  </si>
  <si>
    <t>Nota # 16</t>
  </si>
  <si>
    <t>Retencione y Acumulaciones  por pagar</t>
  </si>
  <si>
    <t>Acumulaciones por pagar</t>
  </si>
  <si>
    <r>
      <t xml:space="preserve">Deducciones al personal </t>
    </r>
    <r>
      <rPr>
        <sz val="11"/>
        <color indexed="8"/>
        <rFont val="Times New Roman"/>
        <family val="1"/>
      </rPr>
      <t>(Histórico Antiguo PP)</t>
    </r>
  </si>
  <si>
    <t>Nomina por pagar</t>
  </si>
  <si>
    <t>Total Acumulaciones por pagar</t>
  </si>
  <si>
    <t>Retenciones por pagar</t>
  </si>
  <si>
    <t>Ret. Impos. Por Pagar Isr Ir-3</t>
  </si>
  <si>
    <t>Retenciones Por Pagar Dgii Acuerdos</t>
  </si>
  <si>
    <t>Ret Imposit Por Pagar Ir 17 (5%)</t>
  </si>
  <si>
    <t>Ret Imposit Por Pagar Ir 17 (10%)</t>
  </si>
  <si>
    <t>Ret Imposit Por Pagar Ir 17 10% Alquiler</t>
  </si>
  <si>
    <t>Ret. P/Seguro Complementario</t>
  </si>
  <si>
    <t>Ret Imposit Por Pagar Itbis</t>
  </si>
  <si>
    <t>Total Retenciones por pagar</t>
  </si>
  <si>
    <t>Total retenciones y acumulaciones</t>
  </si>
  <si>
    <t>Nota # 17</t>
  </si>
  <si>
    <t>Activos Netos/Patrimonio</t>
  </si>
  <si>
    <t>Capital</t>
  </si>
  <si>
    <t>Resultados acumulado</t>
  </si>
  <si>
    <t>Ajuste al Resultados periodo anterior</t>
  </si>
  <si>
    <t xml:space="preserve">Resultado Neto del Período </t>
  </si>
  <si>
    <t>Total Patrimonio Institucional</t>
  </si>
  <si>
    <t>El ajuste al resultado anterior se generó por anulaciones de cheques y otros ajustes.</t>
  </si>
  <si>
    <t>Nota # 18</t>
  </si>
  <si>
    <t>Ingresos por transacciones con contraprestaciones</t>
  </si>
  <si>
    <t>AÑOS</t>
  </si>
  <si>
    <t>Ventas de servicios de APS</t>
  </si>
  <si>
    <t>Ingresos recibidos por certificado financieros</t>
  </si>
  <si>
    <t>Total de Ingresos por transacciones con contraprestaciones</t>
  </si>
  <si>
    <t>Nota # 19</t>
  </si>
  <si>
    <t xml:space="preserve">Transferencias y donaciones </t>
  </si>
  <si>
    <t>Transferencias Recibidas:</t>
  </si>
  <si>
    <t>Transferencias de la Adm. Central: corriente</t>
  </si>
  <si>
    <t>Transferencias de la Adm. Central: capital</t>
  </si>
  <si>
    <t>Transferencias de la Adm. Central: energía no cortable</t>
  </si>
  <si>
    <t xml:space="preserve">Total de Transferencia y donaciones </t>
  </si>
  <si>
    <t>Corriente</t>
  </si>
  <si>
    <t>Energía no cortable</t>
  </si>
  <si>
    <t>Enero</t>
  </si>
  <si>
    <t>Febrero</t>
  </si>
  <si>
    <t>Marzo</t>
  </si>
  <si>
    <t>Abril</t>
  </si>
  <si>
    <t>Mayo</t>
  </si>
  <si>
    <t>Junio</t>
  </si>
  <si>
    <t>Julio</t>
  </si>
  <si>
    <t>Agosto</t>
  </si>
  <si>
    <t>Septiembre</t>
  </si>
  <si>
    <t>Octubre</t>
  </si>
  <si>
    <t>Noviembre</t>
  </si>
  <si>
    <t>Diciembre</t>
  </si>
  <si>
    <t xml:space="preserve"> Nota # 20</t>
  </si>
  <si>
    <t>Sueldos, Salarios y beneficios a empleados</t>
  </si>
  <si>
    <t>Sueldos para cargos Fijos</t>
  </si>
  <si>
    <t>Sueldos personal temporero y contratado</t>
  </si>
  <si>
    <t>Sobresueldos (compensación por hora extraordinario ,compensación por resultado, prima de transp., incentivos por rendimiento)</t>
  </si>
  <si>
    <t>Jornales</t>
  </si>
  <si>
    <t>Dietas y Gastos de Representación</t>
  </si>
  <si>
    <t>Gratificaciones y Bonificaciones</t>
  </si>
  <si>
    <t xml:space="preserve"> Indemnización Laboral</t>
  </si>
  <si>
    <t>Contribución al seguro de salud</t>
  </si>
  <si>
    <t>Contribución al seguro pensión</t>
  </si>
  <si>
    <t>Contribución al seguro riesgo laboral</t>
  </si>
  <si>
    <t>Total Sueldos, Salarios y beneficios a empleados</t>
  </si>
  <si>
    <t>Nota # 21</t>
  </si>
  <si>
    <t>Subvenciones y otros pagos por transferencias</t>
  </si>
  <si>
    <t>PARTIDAS</t>
  </si>
  <si>
    <t xml:space="preserve">Transferencias al Sector Privado  </t>
  </si>
  <si>
    <t>Total Subvenciones y otros pagos por transferencias</t>
  </si>
  <si>
    <t>Nota # 22</t>
  </si>
  <si>
    <t>Suministro y materiales para consumo</t>
  </si>
  <si>
    <t>Alimentos y productos agroforestales</t>
  </si>
  <si>
    <t>Textiles y vestuarios</t>
  </si>
  <si>
    <t xml:space="preserve">Productos de papel, cartón e impresos   </t>
  </si>
  <si>
    <t>Combustibles, lubricantes</t>
  </si>
  <si>
    <t>Productos químicos y conexos</t>
  </si>
  <si>
    <t>Productos y útiles varios</t>
  </si>
  <si>
    <t>Variación en el Inventario</t>
  </si>
  <si>
    <t>Total Suministro y materiales para consumo</t>
  </si>
  <si>
    <t>Nota # 23</t>
  </si>
  <si>
    <t>Gasto de Depreciación y Amortización</t>
  </si>
  <si>
    <t>Depreciación</t>
  </si>
  <si>
    <t>Amortización</t>
  </si>
  <si>
    <t xml:space="preserve">Total </t>
  </si>
  <si>
    <t>Nota # 24</t>
  </si>
  <si>
    <t xml:space="preserve">Otros gastos </t>
  </si>
  <si>
    <t>PARTIDA</t>
  </si>
  <si>
    <t>Servicios básicos</t>
  </si>
  <si>
    <t>Electricidad</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</si>
  <si>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</si>
  <si>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</si>
  <si>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</si>
  <si>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</si>
  <si>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</si>
  <si>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</si>
  <si>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</si>
  <si>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Otros gastos</t>
  </si>
  <si>
    <t>Nota # 25</t>
  </si>
  <si>
    <t xml:space="preserve">Gastos Financieros </t>
  </si>
  <si>
    <t>Comisiones y gastos bancarios</t>
  </si>
  <si>
    <t>Intereses</t>
  </si>
  <si>
    <t xml:space="preserve">Total Gastos Financieros </t>
  </si>
  <si>
    <t>Nota # 26</t>
  </si>
  <si>
    <t>Compromisos y contingencias</t>
  </si>
  <si>
    <t>Clientes Gubernamentales</t>
  </si>
  <si>
    <t>Clientes privados</t>
  </si>
  <si>
    <t>Total Compromisos y contingencias</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</si>
  <si>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</si>
  <si>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COMERCIAL</t>
  </si>
  <si>
    <t>ESPECIAL</t>
  </si>
  <si>
    <t>PUBLICO</t>
  </si>
  <si>
    <t>RESIDENCIAL</t>
  </si>
  <si>
    <t>SIN DATOS</t>
  </si>
  <si>
    <t xml:space="preserve">TOTAL </t>
  </si>
  <si>
    <t>HOTELES</t>
  </si>
  <si>
    <t>INDUSTRIAL</t>
  </si>
  <si>
    <t>TOTAL GENERAL</t>
  </si>
  <si>
    <t xml:space="preserve">ESCUELA PADRE CIPRIANO IBAÃ‘EZ MEP </t>
  </si>
  <si>
    <t>CENTRO EDUCATIVO GRANADA</t>
  </si>
  <si>
    <t>POLITECNICO AVE MARIA LA ISLETA</t>
  </si>
  <si>
    <t>ESCUELA JUAN M JIMENEZ MEP</t>
  </si>
  <si>
    <t>136052 </t>
  </si>
  <si>
    <t>CENTRO EDUCATIVO EL ROMERO</t>
  </si>
  <si>
    <t>ESCUELA BASICA LOS GUAYUYOS MEP</t>
  </si>
  <si>
    <t>ESCUELA SAN FRANCISCO ARRIBA MEP</t>
  </si>
  <si>
    <t xml:space="preserve"> ESCUELA AQUILINA DE J OVALLES</t>
  </si>
  <si>
    <t>LICEO GREGORIO LUPERON</t>
  </si>
  <si>
    <t xml:space="preserve">LICEO FRANCISCO ANT CASTILLO </t>
  </si>
  <si>
    <t>ESCUELA OLIVIA NUÑEZ HIDALGO</t>
  </si>
  <si>
    <t xml:space="preserve"> ESCUELA LOS NARANJO MEP</t>
  </si>
  <si>
    <t>ESCUELA MARIA F GUZMAN B MEP</t>
  </si>
  <si>
    <t xml:space="preserve">CENTRO EDU HATO VIEJO MEP </t>
  </si>
  <si>
    <t>ESCUELA SAN JUAN BAUTISTA MEP</t>
  </si>
  <si>
    <t xml:space="preserve">ESCUELA ALBERGUE INFANTIL MEP </t>
  </si>
  <si>
    <t>ESCUELA PEDRO JOSE HENRRIQUEZ</t>
  </si>
  <si>
    <t>POLITÃ‰CNICO SALESIANO PROF. ARQUIDES CALDERÃ“N</t>
  </si>
  <si>
    <t>ESCUELA LA SOLEDAD</t>
  </si>
  <si>
    <t xml:space="preserve">CENTRO EDUCATIVO LA SOLEDAD MEP </t>
  </si>
  <si>
    <t>LICEO AURORA TAVAREZ BELLIAR</t>
  </si>
  <si>
    <t>CENTRO EDUC LUIS RAMON G LIZARDO</t>
  </si>
  <si>
    <t>ESCUELA MELIDA PEREZ RODRIGUEZ MEP</t>
  </si>
  <si>
    <t>ESCUELA RAMON VARGAS VERAS</t>
  </si>
  <si>
    <t xml:space="preserve">CENTRO EDUCATIVO MOQUITA MEP </t>
  </si>
  <si>
    <t>CENTRO EDUCATIVO LLENAS</t>
  </si>
  <si>
    <t>CENTRO EDUCATIVO JUAN P SANCHEZ</t>
  </si>
  <si>
    <t>ESCUELA EL CAIMITO MEP [ ESCUELA ]</t>
  </si>
  <si>
    <t>CENTRO EDUCATIVO SOR PURA CAAMAÃ‘O</t>
  </si>
  <si>
    <t>ESCUELA MILADY MARIA BENCOSME</t>
  </si>
  <si>
    <t xml:space="preserve">LICEO CAYETANO GERMOSEN MEP </t>
  </si>
  <si>
    <t>CASTILLO JOSE ANTONIO</t>
  </si>
  <si>
    <t xml:space="preserve">ESCUELA AURA E MERCEDES MATA MEP </t>
  </si>
  <si>
    <t>ESCUELA TEOLINDA BENCOSME</t>
  </si>
  <si>
    <t>LICEO ELADIO PEÃ‘A DE LA ROSA MEP [ INSTITUCION ]</t>
  </si>
  <si>
    <t>ESCUELA MERCEDES TEJADA</t>
  </si>
  <si>
    <t xml:space="preserve">JUAN MIGUEL VICENTE CENTRO ED MEP </t>
  </si>
  <si>
    <t>ESCUELA CACIQUE</t>
  </si>
  <si>
    <t>ESCUELA BASICA ELEUTERIO SALAZAR</t>
  </si>
  <si>
    <t xml:space="preserve">CENTRO EDUCATIVO EL SALADILLO MEP </t>
  </si>
  <si>
    <t xml:space="preserve">ESCUELA RODOLFO ANT RODRIGUEZ MEP </t>
  </si>
  <si>
    <t>ESCUELA ANGELA MARIA BENCOSME</t>
  </si>
  <si>
    <t xml:space="preserve">ESCUELA JOSE MARIA RAMIREZ MEP </t>
  </si>
  <si>
    <t xml:space="preserve">ESCUELA ONESIMO GRULLON MEP </t>
  </si>
  <si>
    <t>ESCUELA LA PIÃ‘A</t>
  </si>
  <si>
    <t xml:space="preserve">ESCUELA BASICA JORGE R BONILLA C </t>
  </si>
  <si>
    <t>ESCUELA LAS MARIAS</t>
  </si>
  <si>
    <t>ESCUELA JOSEFA RAMONA GONZALEZ</t>
  </si>
  <si>
    <t xml:space="preserve">ESCUELA MARIA E MENDEZ MEP </t>
  </si>
  <si>
    <t xml:space="preserve">ESCUELA ISABEL LA CATOLICA MEP </t>
  </si>
  <si>
    <t>ESCUELA VALENTIN MICHEL MEP [  ]</t>
  </si>
  <si>
    <t xml:space="preserve">ESCUELA PUESTO GRANDE MEP </t>
  </si>
  <si>
    <t xml:space="preserve">ESCUELA ARROYO FRIO MEP </t>
  </si>
  <si>
    <t>ESCUELA LUIS CONRADO DEL CASTILLO [ EL CANDOR ]</t>
  </si>
  <si>
    <t xml:space="preserve">ESCUELA FRANCISCO LANTIGUA MEP </t>
  </si>
  <si>
    <t>CENTRO EDUCATIVO ONESIMO POLANCO</t>
  </si>
  <si>
    <t>ESCUELA BASICA AMERICA URVINO</t>
  </si>
  <si>
    <t>ESCUELA CA O CONSERBA</t>
  </si>
  <si>
    <t>LICEO EUGENIO MARIA DE HOSTOS</t>
  </si>
  <si>
    <t>ESCUELA CRISTINO PITTA</t>
  </si>
  <si>
    <t>CENTRO EDUCATIVO ANIBAL MEDINA MEP</t>
  </si>
  <si>
    <t xml:space="preserve">ESCUELA JOSE GREGORIO DE LEON </t>
  </si>
  <si>
    <t xml:space="preserve">ESCUELA NOEL RAMON PERALTA MEP </t>
  </si>
  <si>
    <t>ESCUELA AURA ESTELA NUÃ‘EZ BENCOSME</t>
  </si>
  <si>
    <t xml:space="preserve">ESCUELA ANDRES BELLO MEP </t>
  </si>
  <si>
    <t>LICEO FRANCISCO GUZMAN COMPRES MEP</t>
  </si>
  <si>
    <t>ESCUELA LORENZO CONFESOR HICIANO</t>
  </si>
  <si>
    <t>ESCUELA JUAN CRISOSTOMO ESTRELLA</t>
  </si>
  <si>
    <t>ESCUELA LOS TEJADAS</t>
  </si>
  <si>
    <t xml:space="preserve">ESCUELA SIXTO PASTOR HERNANDEZ </t>
  </si>
  <si>
    <t>LICEO DOMINGO F SARMIENTO MEP [ LICEO ]</t>
  </si>
  <si>
    <t xml:space="preserve">ESCUELA PRIMARIA ORTEGA MEP </t>
  </si>
  <si>
    <t>LICEO LUIS RAMON BENCOSME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</si>
</sst>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_);\(0\)"/>
    <numFmt numFmtId="165" formatCode="&quot;RD$&quot;#,##0.00;[Red]\-&quot;RD$&quot;#,##0.00"/>
  </numFmts>
  <fonts count="19"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b/>
      <sz val="11"/>
      <color theme="0" tint="-0.249977111117893"/>
      <name val="Times New Roman"/>
      <family val="1"/>
    </font>
    <font>
      <sz val="11"/>
      <color indexed="8"/>
      <name val="Times New Roman"/>
      <family val="1"/>
    </font>
    <font>
      <b/>
      <sz val="11"/>
      <color rgb="FFFF0000"/>
      <name val="Times New Roman"/>
      <family val="1"/>
    </font>
    <font>
      <b/>
      <sz val="11"/>
      <color theme="0" tint="-4.9989318521683403E-2"/>
      <name val="Times New Roman"/>
      <family val="1"/>
    </font>
    <font>
      <sz val="10"/>
      <color theme="1"/>
      <name val="Times New Roman"/>
      <family val="1"/>
    </font>
    <font>
      <sz val="9"/>
      <color theme="1"/>
      <name val="Times New Roman"/>
      <family val="1"/>
    </font>
    <font>
      <sz val="11"/>
      <color theme="0" tint="-0.249977111117893"/>
      <name val="Times New Roman"/>
      <family val="1"/>
    </font>
    <font>
      <b/>
      <sz val="11"/>
      <color theme="0" tint="-0.14999847407452621"/>
      <name val="Times New Roman"/>
      <family val="1"/>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2F2F2"/>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281">
    <xf numFmtId="0" fontId="0" fillId="0" borderId="0" xfId="0"/>
    <xf numFmtId="0" fontId="2" fillId="0" borderId="0" xfId="0" applyFont="1" applyAlignment="1">
      <alignment horizontal="center"/>
    </xf>
    <xf numFmtId="0" fontId="3" fillId="0" borderId="0" xfId="0" applyFont="1"/>
    <xf numFmtId="43" fontId="3" fillId="0" borderId="0" xfId="1" applyFont="1"/>
    <xf numFmtId="0" fontId="3" fillId="2" borderId="0" xfId="0" applyFont="1" applyFill="1"/>
    <xf numFmtId="0" fontId="2" fillId="0" borderId="0" xfId="0" applyFont="1" applyAlignment="1">
      <alignment horizontal="center"/>
    </xf>
    <xf numFmtId="43" fontId="2" fillId="0" borderId="0" xfId="1" applyFont="1" applyAlignment="1">
      <alignment horizontal="center"/>
    </xf>
    <xf numFmtId="0" fontId="2"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vertical="center"/>
    </xf>
    <xf numFmtId="0" fontId="3" fillId="0" borderId="0" xfId="0" applyFont="1" applyFill="1"/>
    <xf numFmtId="0" fontId="2" fillId="0" borderId="0" xfId="0" applyFont="1" applyAlignment="1">
      <alignment horizontal="justify" vertical="center" wrapText="1"/>
    </xf>
    <xf numFmtId="0" fontId="2" fillId="0" borderId="0" xfId="0" applyFont="1" applyAlignment="1">
      <alignment horizontal="left" vertical="center"/>
    </xf>
    <xf numFmtId="0" fontId="3" fillId="0" borderId="0" xfId="0" applyFont="1" applyAlignment="1">
      <alignment horizontal="justify" vertical="center" wrapText="1"/>
    </xf>
    <xf numFmtId="0" fontId="5" fillId="0" borderId="0" xfId="0" applyFont="1" applyAlignment="1">
      <alignment horizontal="left" vertical="center" wrapText="1"/>
    </xf>
    <xf numFmtId="43" fontId="3" fillId="0" borderId="0" xfId="1" applyFont="1" applyFill="1"/>
    <xf numFmtId="0" fontId="3" fillId="0" borderId="0" xfId="0" applyFont="1" applyAlignment="1">
      <alignment horizontal="lef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43" fontId="6" fillId="0" borderId="0" xfId="1" applyFont="1" applyAlignment="1">
      <alignment horizontal="left" vertical="center" wrapText="1"/>
    </xf>
    <xf numFmtId="0" fontId="5" fillId="0" borderId="0" xfId="0" applyFont="1" applyFill="1" applyAlignment="1">
      <alignment horizontal="left" vertical="center" wrapText="1"/>
    </xf>
    <xf numFmtId="0" fontId="3" fillId="3" borderId="0" xfId="0" applyFont="1" applyFill="1" applyAlignment="1">
      <alignment horizontal="left" vertical="center" wrapText="1"/>
    </xf>
    <xf numFmtId="0" fontId="3" fillId="0" borderId="0" xfId="0" applyFont="1" applyFill="1" applyAlignment="1">
      <alignment horizontal="left" vertical="center" wrapText="1"/>
    </xf>
    <xf numFmtId="43" fontId="3" fillId="0" borderId="0" xfId="1" applyFont="1" applyFill="1" applyAlignment="1">
      <alignment horizontal="left"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7" fillId="0" borderId="0" xfId="0" applyFont="1"/>
    <xf numFmtId="0" fontId="7" fillId="0" borderId="0" xfId="0" applyFont="1" applyAlignment="1">
      <alignment horizontal="left" vertical="center" wrapText="1"/>
    </xf>
    <xf numFmtId="43" fontId="7" fillId="0" borderId="0" xfId="1" applyFont="1" applyAlignment="1">
      <alignment horizontal="left" vertical="center" wrapText="1"/>
    </xf>
    <xf numFmtId="43" fontId="7" fillId="0" borderId="0" xfId="1" applyFont="1"/>
    <xf numFmtId="0" fontId="7" fillId="2" borderId="0" xfId="0" applyFont="1" applyFill="1"/>
    <xf numFmtId="43" fontId="3" fillId="0" borderId="0" xfId="1" applyFont="1" applyAlignment="1">
      <alignment horizontal="left" vertical="center" wrapText="1"/>
    </xf>
    <xf numFmtId="0" fontId="7" fillId="0" borderId="0" xfId="0" applyFont="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justify" vertical="center" wrapText="1"/>
    </xf>
    <xf numFmtId="43" fontId="6" fillId="0" borderId="1" xfId="1" applyFont="1" applyBorder="1" applyAlignment="1">
      <alignment horizontal="right" vertical="center"/>
    </xf>
    <xf numFmtId="43" fontId="6" fillId="0" borderId="1" xfId="1" applyFont="1" applyBorder="1" applyAlignment="1">
      <alignment horizontal="right" vertical="center" wrapText="1"/>
    </xf>
    <xf numFmtId="43" fontId="5" fillId="0" borderId="1" xfId="1" applyFont="1" applyBorder="1" applyAlignment="1">
      <alignment horizontal="right"/>
    </xf>
    <xf numFmtId="0" fontId="6" fillId="0" borderId="1" xfId="0" applyFont="1" applyBorder="1" applyAlignment="1">
      <alignment horizontal="left" vertical="center" wrapText="1"/>
    </xf>
    <xf numFmtId="43" fontId="5" fillId="0" borderId="1" xfId="1" applyFont="1" applyBorder="1" applyAlignment="1"/>
    <xf numFmtId="0" fontId="3" fillId="0" borderId="1" xfId="0" applyFont="1" applyBorder="1" applyAlignment="1">
      <alignment vertical="center"/>
    </xf>
    <xf numFmtId="43" fontId="3" fillId="0" borderId="1" xfId="1" applyFont="1" applyBorder="1"/>
    <xf numFmtId="0" fontId="3" fillId="0" borderId="0" xfId="0" applyFont="1" applyBorder="1"/>
    <xf numFmtId="0" fontId="8" fillId="4" borderId="1" xfId="0" applyFont="1" applyFill="1" applyBorder="1" applyAlignment="1">
      <alignment vertical="center"/>
    </xf>
    <xf numFmtId="4" fontId="8"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43" fontId="3" fillId="0" borderId="0" xfId="1" applyFont="1" applyBorder="1"/>
    <xf numFmtId="0" fontId="3" fillId="2" borderId="0" xfId="0" applyFont="1" applyFill="1" applyBorder="1"/>
    <xf numFmtId="0" fontId="8" fillId="4" borderId="0" xfId="0" applyFont="1" applyFill="1" applyBorder="1" applyAlignment="1">
      <alignment horizontal="center" vertical="center"/>
    </xf>
    <xf numFmtId="43" fontId="9" fillId="4" borderId="0" xfId="1" applyFont="1" applyFill="1" applyBorder="1" applyAlignment="1">
      <alignment horizontal="center" vertical="center"/>
    </xf>
    <xf numFmtId="43" fontId="8" fillId="4" borderId="0" xfId="1" applyFont="1" applyFill="1" applyBorder="1" applyAlignment="1">
      <alignment horizontal="center" vertical="center"/>
    </xf>
    <xf numFmtId="4" fontId="4" fillId="4" borderId="0" xfId="0" applyNumberFormat="1" applyFont="1" applyFill="1" applyBorder="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43" fontId="2" fillId="0" borderId="1" xfId="1" applyFont="1" applyBorder="1" applyAlignment="1">
      <alignment horizontal="right" wrapText="1"/>
    </xf>
    <xf numFmtId="10" fontId="4" fillId="0" borderId="1" xfId="0" applyNumberFormat="1" applyFont="1" applyBorder="1"/>
    <xf numFmtId="0" fontId="2" fillId="0" borderId="0" xfId="0" applyFont="1" applyBorder="1" applyAlignment="1">
      <alignment horizontal="left" wrapText="1"/>
    </xf>
    <xf numFmtId="43" fontId="2" fillId="0" borderId="0" xfId="1" applyFont="1" applyBorder="1" applyAlignment="1">
      <alignment horizontal="right" wrapText="1"/>
    </xf>
    <xf numFmtId="10" fontId="2" fillId="0" borderId="0" xfId="0" applyNumberFormat="1" applyFont="1" applyBorder="1"/>
    <xf numFmtId="0" fontId="2" fillId="0" borderId="0" xfId="0" applyFont="1" applyAlignment="1">
      <alignment horizontal="left"/>
    </xf>
    <xf numFmtId="0" fontId="2" fillId="0" borderId="0" xfId="0" applyFont="1"/>
    <xf numFmtId="0" fontId="5" fillId="0" borderId="1" xfId="0" applyFont="1" applyBorder="1" applyAlignment="1">
      <alignment horizontal="left" vertical="center" wrapText="1"/>
    </xf>
    <xf numFmtId="4" fontId="5" fillId="0" borderId="4" xfId="0" applyNumberFormat="1" applyFont="1" applyBorder="1" applyAlignment="1">
      <alignment horizontal="right" vertical="center"/>
    </xf>
    <xf numFmtId="43" fontId="5" fillId="0" borderId="4" xfId="1" applyFont="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right" vertical="center"/>
    </xf>
    <xf numFmtId="43" fontId="5" fillId="0" borderId="1" xfId="1" applyFont="1" applyBorder="1" applyAlignment="1">
      <alignment horizontal="right" vertical="center"/>
    </xf>
    <xf numFmtId="4" fontId="5" fillId="0" borderId="1" xfId="0" applyNumberFormat="1" applyFont="1" applyBorder="1"/>
    <xf numFmtId="0" fontId="4" fillId="4" borderId="1" xfId="0" applyFont="1" applyFill="1" applyBorder="1" applyAlignment="1">
      <alignment horizontal="left" vertical="center" wrapText="1"/>
    </xf>
    <xf numFmtId="43" fontId="4" fillId="4" borderId="1" xfId="1" applyFont="1" applyFill="1" applyBorder="1" applyAlignment="1">
      <alignment horizontal="right" vertical="center"/>
    </xf>
    <xf numFmtId="0" fontId="4" fillId="4" borderId="0" xfId="0" applyFont="1" applyFill="1" applyBorder="1" applyAlignment="1">
      <alignment horizontal="left" vertical="center" wrapText="1"/>
    </xf>
    <xf numFmtId="4" fontId="4" fillId="4" borderId="0" xfId="0" applyNumberFormat="1" applyFont="1" applyFill="1" applyBorder="1" applyAlignment="1">
      <alignment horizontal="right" vertical="center"/>
    </xf>
    <xf numFmtId="43" fontId="4" fillId="4" borderId="0" xfId="1" applyFont="1" applyFill="1" applyBorder="1" applyAlignment="1">
      <alignment horizontal="right" vertical="center"/>
    </xf>
    <xf numFmtId="43" fontId="4" fillId="0" borderId="1" xfId="1" applyFont="1" applyBorder="1" applyAlignment="1">
      <alignment horizontal="right" wrapText="1"/>
    </xf>
    <xf numFmtId="0" fontId="3" fillId="5" borderId="0" xfId="0" applyFont="1" applyFill="1"/>
    <xf numFmtId="0" fontId="3" fillId="5" borderId="0" xfId="0" applyFont="1" applyFill="1" applyAlignment="1">
      <alignment horizontal="left" vertical="center" wrapText="1"/>
    </xf>
    <xf numFmtId="0" fontId="3" fillId="0" borderId="0" xfId="0" applyFont="1" applyAlignment="1">
      <alignment vertical="center" wrapText="1"/>
    </xf>
    <xf numFmtId="4" fontId="3" fillId="0" borderId="4" xfId="0" applyNumberFormat="1" applyFont="1" applyBorder="1" applyAlignment="1">
      <alignment horizontal="right" vertical="center"/>
    </xf>
    <xf numFmtId="43" fontId="6" fillId="0" borderId="4" xfId="1" applyFont="1" applyBorder="1" applyAlignment="1">
      <alignment horizontal="right" vertical="center" wrapText="1"/>
    </xf>
    <xf numFmtId="4" fontId="3" fillId="0" borderId="1" xfId="0" applyNumberFormat="1" applyFont="1" applyBorder="1"/>
    <xf numFmtId="4" fontId="3" fillId="0" borderId="1" xfId="0" applyNumberFormat="1" applyFont="1" applyBorder="1" applyAlignment="1">
      <alignment horizontal="right" vertical="center"/>
    </xf>
    <xf numFmtId="0" fontId="8" fillId="4"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4" fontId="9" fillId="0" borderId="0" xfId="0" applyNumberFormat="1" applyFont="1" applyFill="1" applyBorder="1" applyAlignment="1">
      <alignment horizontal="right" vertical="center"/>
    </xf>
    <xf numFmtId="43" fontId="8" fillId="0" borderId="0" xfId="1" applyFont="1" applyFill="1" applyBorder="1" applyAlignment="1">
      <alignment horizontal="right" vertical="center"/>
    </xf>
    <xf numFmtId="4" fontId="8" fillId="0" borderId="0" xfId="0" applyNumberFormat="1" applyFont="1" applyFill="1" applyBorder="1" applyAlignment="1">
      <alignment horizontal="right" vertical="center"/>
    </xf>
    <xf numFmtId="10" fontId="2" fillId="0" borderId="1" xfId="0" applyNumberFormat="1" applyFont="1" applyBorder="1"/>
    <xf numFmtId="0" fontId="3" fillId="0" borderId="0" xfId="0" applyFont="1" applyFill="1" applyAlignment="1">
      <alignment horizontal="left" wrapText="1"/>
    </xf>
    <xf numFmtId="4" fontId="3" fillId="0" borderId="0" xfId="0" applyNumberFormat="1" applyFont="1"/>
    <xf numFmtId="43" fontId="3" fillId="0" borderId="1" xfId="1" applyFont="1" applyBorder="1" applyAlignment="1">
      <alignment horizontal="right" vertical="center"/>
    </xf>
    <xf numFmtId="4" fontId="3" fillId="0" borderId="0" xfId="0" applyNumberFormat="1" applyFont="1" applyAlignment="1">
      <alignment vertical="center"/>
    </xf>
    <xf numFmtId="43" fontId="8" fillId="4" borderId="1" xfId="1" applyFont="1" applyFill="1" applyBorder="1" applyAlignment="1">
      <alignment horizontal="right" vertical="center"/>
    </xf>
    <xf numFmtId="43" fontId="9" fillId="0" borderId="0" xfId="1" applyFont="1" applyFill="1" applyBorder="1" applyAlignment="1">
      <alignment horizontal="right" vertical="center"/>
    </xf>
    <xf numFmtId="4" fontId="3" fillId="0" borderId="1" xfId="0" applyNumberFormat="1" applyFont="1" applyFill="1" applyBorder="1" applyAlignment="1">
      <alignment horizontal="right" vertical="center"/>
    </xf>
    <xf numFmtId="39" fontId="3" fillId="0" borderId="1" xfId="0" applyNumberFormat="1" applyFont="1" applyBorder="1" applyAlignment="1">
      <alignment horizontal="right" vertical="center"/>
    </xf>
    <xf numFmtId="4" fontId="3" fillId="2" borderId="0" xfId="0" applyNumberFormat="1" applyFont="1" applyFill="1"/>
    <xf numFmtId="4" fontId="2" fillId="0" borderId="1" xfId="0" applyNumberFormat="1" applyFont="1" applyBorder="1"/>
    <xf numFmtId="0" fontId="8" fillId="4" borderId="0" xfId="0" applyFont="1" applyFill="1" applyBorder="1" applyAlignment="1">
      <alignment horizontal="left" vertical="center" wrapText="1"/>
    </xf>
    <xf numFmtId="43" fontId="9" fillId="4" borderId="0" xfId="1" applyFont="1" applyFill="1" applyBorder="1" applyAlignment="1">
      <alignment horizontal="right" vertical="center"/>
    </xf>
    <xf numFmtId="43" fontId="8" fillId="4" borderId="0" xfId="1" applyFont="1" applyFill="1" applyBorder="1" applyAlignment="1">
      <alignment horizontal="right" vertical="center"/>
    </xf>
    <xf numFmtId="4" fontId="8" fillId="4" borderId="0" xfId="0" applyNumberFormat="1" applyFont="1" applyFill="1" applyBorder="1" applyAlignment="1">
      <alignment horizontal="right" vertical="center"/>
    </xf>
    <xf numFmtId="4" fontId="3" fillId="0" borderId="0" xfId="0" applyNumberFormat="1"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43" fontId="8" fillId="4" borderId="1" xfId="1" applyFont="1" applyFill="1" applyBorder="1" applyAlignment="1">
      <alignment horizontal="center" vertical="center"/>
    </xf>
    <xf numFmtId="43" fontId="3" fillId="0" borderId="0" xfId="1" applyFont="1" applyAlignment="1">
      <alignment vertical="center"/>
    </xf>
    <xf numFmtId="0" fontId="3" fillId="2" borderId="0" xfId="0" applyFont="1" applyFill="1" applyAlignment="1">
      <alignment vertical="center"/>
    </xf>
    <xf numFmtId="0" fontId="6" fillId="6" borderId="1" xfId="0" applyFont="1" applyFill="1" applyBorder="1" applyAlignment="1">
      <alignment vertical="center" wrapText="1"/>
    </xf>
    <xf numFmtId="165" fontId="6" fillId="6" borderId="1" xfId="0" applyNumberFormat="1" applyFont="1" applyFill="1" applyBorder="1" applyAlignment="1">
      <alignment horizontal="right" vertical="center"/>
    </xf>
    <xf numFmtId="43" fontId="6" fillId="6" borderId="1" xfId="1" applyFont="1" applyFill="1" applyBorder="1" applyAlignment="1">
      <alignment horizontal="center" vertical="center"/>
    </xf>
    <xf numFmtId="4" fontId="3" fillId="6" borderId="1" xfId="0" applyNumberFormat="1" applyFont="1" applyFill="1" applyBorder="1" applyAlignment="1">
      <alignment horizontal="right" vertical="center"/>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43" fontId="6" fillId="0" borderId="1" xfId="1" applyFont="1" applyBorder="1" applyAlignment="1">
      <alignment horizontal="center" vertical="center"/>
    </xf>
    <xf numFmtId="0" fontId="2" fillId="4" borderId="1" xfId="0" applyFont="1" applyFill="1" applyBorder="1" applyAlignment="1">
      <alignment vertical="center"/>
    </xf>
    <xf numFmtId="43" fontId="2" fillId="4" borderId="1" xfId="1" applyFont="1" applyFill="1" applyBorder="1" applyAlignment="1">
      <alignment vertical="center"/>
    </xf>
    <xf numFmtId="4" fontId="2" fillId="4"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43" fontId="2" fillId="0" borderId="0" xfId="1" applyFont="1" applyFill="1" applyBorder="1" applyAlignment="1">
      <alignment horizontal="center" vertical="center"/>
    </xf>
    <xf numFmtId="0" fontId="5" fillId="0" borderId="0" xfId="0" applyFont="1"/>
    <xf numFmtId="43" fontId="5" fillId="0" borderId="0" xfId="1" applyFont="1"/>
    <xf numFmtId="0" fontId="5" fillId="2" borderId="0" xfId="0" applyFont="1" applyFill="1"/>
    <xf numFmtId="0" fontId="5" fillId="4" borderId="0" xfId="0" applyFont="1" applyFill="1" applyBorder="1" applyAlignment="1">
      <alignment horizontal="left" vertical="center" wrapText="1"/>
    </xf>
    <xf numFmtId="4" fontId="5" fillId="4" borderId="0" xfId="0" applyNumberFormat="1" applyFont="1" applyFill="1" applyBorder="1" applyAlignment="1">
      <alignment horizontal="right" vertical="center"/>
    </xf>
    <xf numFmtId="43" fontId="5" fillId="4" borderId="0" xfId="1" applyFont="1" applyFill="1" applyBorder="1" applyAlignment="1">
      <alignment horizontal="right" vertical="center"/>
    </xf>
    <xf numFmtId="0" fontId="5" fillId="0" borderId="0" xfId="0" applyFont="1" applyBorder="1"/>
    <xf numFmtId="43" fontId="5" fillId="0" borderId="1" xfId="1" applyFont="1" applyBorder="1" applyAlignment="1">
      <alignment horizontal="right" wrapText="1"/>
    </xf>
    <xf numFmtId="10" fontId="5" fillId="0" borderId="1" xfId="0" applyNumberFormat="1" applyFont="1" applyBorder="1"/>
    <xf numFmtId="43" fontId="5" fillId="0" borderId="0" xfId="1" applyFont="1" applyBorder="1"/>
    <xf numFmtId="0" fontId="5" fillId="2" borderId="0" xfId="0" applyFont="1" applyFill="1" applyBorder="1"/>
    <xf numFmtId="0" fontId="5" fillId="0" borderId="0" xfId="0" applyFont="1" applyBorder="1" applyAlignment="1">
      <alignment horizontal="left" wrapText="1"/>
    </xf>
    <xf numFmtId="43" fontId="5" fillId="0" borderId="0" xfId="1" applyFont="1" applyBorder="1" applyAlignment="1">
      <alignment horizontal="right" wrapText="1"/>
    </xf>
    <xf numFmtId="10" fontId="5" fillId="0" borderId="0" xfId="0" applyNumberFormat="1" applyFont="1" applyBorder="1"/>
    <xf numFmtId="0" fontId="8" fillId="7" borderId="1" xfId="0" applyFont="1" applyFill="1" applyBorder="1" applyAlignment="1">
      <alignment horizontal="center" vertical="center" wrapText="1"/>
    </xf>
    <xf numFmtId="43" fontId="2" fillId="7" borderId="1" xfId="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vertical="center" wrapText="1"/>
    </xf>
    <xf numFmtId="43" fontId="2" fillId="9" borderId="1" xfId="1" applyFont="1" applyFill="1" applyBorder="1" applyAlignment="1">
      <alignment horizontal="center" vertical="center" wrapText="1"/>
    </xf>
    <xf numFmtId="0" fontId="3" fillId="9" borderId="1" xfId="0" applyFont="1" applyFill="1" applyBorder="1"/>
    <xf numFmtId="43" fontId="3" fillId="0" borderId="1" xfId="1" applyFont="1" applyBorder="1" applyAlignment="1">
      <alignment horizontal="right" vertical="center" wrapText="1"/>
    </xf>
    <xf numFmtId="43" fontId="3" fillId="0" borderId="1" xfId="1" applyFont="1" applyFill="1" applyBorder="1" applyAlignment="1">
      <alignment horizontal="right" vertical="center" wrapText="1"/>
    </xf>
    <xf numFmtId="0" fontId="8" fillId="8" borderId="1" xfId="0" applyFont="1" applyFill="1" applyBorder="1" applyAlignment="1">
      <alignment vertical="center" wrapText="1"/>
    </xf>
    <xf numFmtId="4" fontId="2" fillId="8" borderId="1" xfId="0" applyNumberFormat="1" applyFont="1" applyFill="1" applyBorder="1" applyAlignment="1">
      <alignment horizontal="right" vertical="center"/>
    </xf>
    <xf numFmtId="43" fontId="2" fillId="8" borderId="1" xfId="1" applyFont="1" applyFill="1" applyBorder="1" applyAlignment="1">
      <alignment horizontal="right" vertical="center"/>
    </xf>
    <xf numFmtId="4" fontId="3" fillId="8" borderId="1" xfId="0" applyNumberFormat="1" applyFont="1" applyFill="1" applyBorder="1" applyAlignment="1">
      <alignment horizontal="right" vertical="center"/>
    </xf>
    <xf numFmtId="43" fontId="3" fillId="8" borderId="1" xfId="1" applyFont="1" applyFill="1" applyBorder="1" applyAlignment="1">
      <alignment horizontal="right" vertical="center" wrapText="1"/>
    </xf>
    <xf numFmtId="4" fontId="3" fillId="8" borderId="1" xfId="0" applyNumberFormat="1" applyFont="1" applyFill="1" applyBorder="1"/>
    <xf numFmtId="0" fontId="3" fillId="9" borderId="1" xfId="0" applyFont="1" applyFill="1" applyBorder="1" applyAlignment="1">
      <alignment horizontal="right" vertical="center"/>
    </xf>
    <xf numFmtId="43" fontId="3" fillId="9" borderId="1" xfId="1" applyFont="1" applyFill="1" applyBorder="1" applyAlignment="1">
      <alignment horizontal="right" vertical="center" wrapText="1"/>
    </xf>
    <xf numFmtId="4" fontId="3" fillId="9" borderId="1" xfId="0" applyNumberFormat="1" applyFont="1" applyFill="1" applyBorder="1"/>
    <xf numFmtId="0" fontId="8" fillId="8"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4" fontId="8" fillId="8" borderId="1" xfId="0" applyNumberFormat="1" applyFont="1" applyFill="1" applyBorder="1" applyAlignment="1">
      <alignment horizontal="right" vertical="center"/>
    </xf>
    <xf numFmtId="43" fontId="8" fillId="8" borderId="1" xfId="1" applyFont="1" applyFill="1" applyBorder="1" applyAlignment="1">
      <alignment horizontal="right" vertical="center"/>
    </xf>
    <xf numFmtId="0" fontId="3" fillId="8" borderId="1" xfId="0" applyFont="1" applyFill="1" applyBorder="1" applyAlignment="1">
      <alignment horizontal="right" vertical="center" wrapText="1"/>
    </xf>
    <xf numFmtId="4" fontId="2" fillId="0" borderId="0" xfId="0" applyNumberFormat="1" applyFont="1" applyFill="1" applyBorder="1" applyAlignment="1">
      <alignment horizontal="right" vertical="center"/>
    </xf>
    <xf numFmtId="0" fontId="8" fillId="0" borderId="1" xfId="0" applyFont="1" applyBorder="1" applyAlignment="1">
      <alignment horizontal="center" vertical="center" wrapText="1"/>
    </xf>
    <xf numFmtId="4" fontId="2" fillId="8" borderId="1" xfId="0" applyNumberFormat="1" applyFont="1" applyFill="1" applyBorder="1" applyAlignment="1">
      <alignment horizontal="right" vertical="center" wrapText="1"/>
    </xf>
    <xf numFmtId="43" fontId="2" fillId="8" borderId="1" xfId="1" applyFont="1" applyFill="1" applyBorder="1" applyAlignment="1">
      <alignment horizontal="right" vertical="center" wrapText="1"/>
    </xf>
    <xf numFmtId="4" fontId="3" fillId="8"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 fontId="9" fillId="0" borderId="0" xfId="0" applyNumberFormat="1" applyFont="1" applyFill="1" applyBorder="1" applyAlignment="1">
      <alignment horizontal="right" vertical="center" wrapText="1"/>
    </xf>
    <xf numFmtId="43" fontId="9" fillId="0" borderId="0" xfId="1" applyFont="1" applyFill="1" applyBorder="1" applyAlignment="1">
      <alignment horizontal="right" vertical="center" wrapText="1"/>
    </xf>
    <xf numFmtId="4" fontId="3" fillId="0" borderId="0" xfId="0" applyNumberFormat="1" applyFont="1" applyFill="1"/>
    <xf numFmtId="0" fontId="3" fillId="3" borderId="0" xfId="0" applyFont="1" applyFill="1"/>
    <xf numFmtId="43" fontId="3" fillId="3" borderId="0" xfId="1" applyFont="1" applyFill="1"/>
    <xf numFmtId="0" fontId="3" fillId="0" borderId="0" xfId="0" applyFont="1" applyBorder="1" applyAlignment="1">
      <alignment horizontal="left" wrapText="1"/>
    </xf>
    <xf numFmtId="43" fontId="3" fillId="0" borderId="0" xfId="1" applyFont="1" applyBorder="1" applyAlignment="1">
      <alignment horizontal="left" wrapText="1"/>
    </xf>
    <xf numFmtId="10" fontId="3" fillId="0" borderId="0" xfId="0" applyNumberFormat="1" applyFont="1" applyBorder="1"/>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0" borderId="1" xfId="0" applyFont="1" applyBorder="1" applyAlignment="1">
      <alignment horizontal="justify" vertical="center" wrapText="1"/>
    </xf>
    <xf numFmtId="43" fontId="3" fillId="0" borderId="1" xfId="1" applyFont="1" applyBorder="1" applyAlignment="1">
      <alignment horizontal="right"/>
    </xf>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43" fontId="3" fillId="4" borderId="0" xfId="1" applyFont="1" applyFill="1" applyBorder="1" applyAlignment="1">
      <alignment horizontal="center" vertical="center"/>
    </xf>
    <xf numFmtId="4" fontId="3" fillId="4" borderId="0" xfId="0" applyNumberFormat="1" applyFont="1" applyFill="1" applyBorder="1" applyAlignment="1">
      <alignment horizontal="center" vertical="center"/>
    </xf>
    <xf numFmtId="43" fontId="3" fillId="0" borderId="1" xfId="1" applyFont="1" applyBorder="1" applyAlignment="1">
      <alignment horizontal="right" wrapText="1"/>
    </xf>
    <xf numFmtId="43" fontId="3" fillId="0" borderId="0" xfId="1" applyFont="1" applyBorder="1" applyAlignment="1">
      <alignment horizontal="right" wrapText="1"/>
    </xf>
    <xf numFmtId="0" fontId="11" fillId="0" borderId="0" xfId="0" applyFont="1" applyBorder="1" applyAlignment="1">
      <alignment horizontal="left" wrapText="1"/>
    </xf>
    <xf numFmtId="43" fontId="11" fillId="0" borderId="0" xfId="1" applyFont="1" applyBorder="1" applyAlignment="1">
      <alignment horizontal="right" wrapText="1"/>
    </xf>
    <xf numFmtId="10" fontId="11" fillId="0" borderId="0" xfId="0" applyNumberFormat="1" applyFont="1" applyBorder="1"/>
    <xf numFmtId="0" fontId="4" fillId="0" borderId="0" xfId="0" applyFont="1" applyAlignment="1">
      <alignment vertical="center" wrapText="1"/>
    </xf>
    <xf numFmtId="0" fontId="2" fillId="4" borderId="1" xfId="0" applyFont="1" applyFill="1" applyBorder="1" applyAlignment="1">
      <alignment vertical="center" wrapText="1"/>
    </xf>
    <xf numFmtId="0" fontId="2" fillId="0" borderId="1" xfId="0" applyFont="1" applyBorder="1" applyAlignment="1">
      <alignment horizontal="center"/>
    </xf>
    <xf numFmtId="43" fontId="3" fillId="0" borderId="1" xfId="1" applyFont="1" applyFill="1" applyBorder="1" applyAlignment="1">
      <alignment horizontal="right" vertical="center"/>
    </xf>
    <xf numFmtId="43" fontId="2" fillId="4" borderId="1" xfId="1" applyFont="1" applyFill="1" applyBorder="1" applyAlignment="1">
      <alignment horizontal="right" vertical="center"/>
    </xf>
    <xf numFmtId="0" fontId="2" fillId="0" borderId="0" xfId="0" applyFont="1" applyFill="1" applyBorder="1" applyAlignment="1">
      <alignment vertical="center" wrapText="1"/>
    </xf>
    <xf numFmtId="4" fontId="12" fillId="0" borderId="0" xfId="0" applyNumberFormat="1" applyFont="1" applyFill="1" applyBorder="1" applyAlignment="1">
      <alignment horizontal="right" vertical="center"/>
    </xf>
    <xf numFmtId="43" fontId="2" fillId="0" borderId="0" xfId="1" applyFont="1" applyFill="1" applyBorder="1" applyAlignment="1">
      <alignment horizontal="right" vertical="center"/>
    </xf>
    <xf numFmtId="0" fontId="2" fillId="0" borderId="0" xfId="0" applyFont="1" applyAlignment="1">
      <alignment horizontal="left" vertical="center" wrapText="1"/>
    </xf>
    <xf numFmtId="43" fontId="2" fillId="0" borderId="0" xfId="1" applyFont="1" applyAlignment="1">
      <alignment horizontal="left" vertical="center" wrapText="1"/>
    </xf>
    <xf numFmtId="43" fontId="2" fillId="4" borderId="1" xfId="1" applyFont="1" applyFill="1" applyBorder="1" applyAlignment="1">
      <alignment horizontal="center" vertical="center"/>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5" xfId="0" applyFont="1" applyBorder="1" applyAlignment="1">
      <alignment vertical="center" wrapText="1"/>
    </xf>
    <xf numFmtId="0" fontId="2" fillId="10" borderId="1" xfId="0" applyFont="1" applyFill="1" applyBorder="1" applyAlignment="1">
      <alignment horizontal="center"/>
    </xf>
    <xf numFmtId="0" fontId="2" fillId="0" borderId="1" xfId="0" applyFont="1" applyBorder="1" applyAlignment="1">
      <alignment horizontal="left" vertical="center" wrapText="1"/>
    </xf>
    <xf numFmtId="43" fontId="2" fillId="0" borderId="1" xfId="0" applyNumberFormat="1" applyFont="1" applyBorder="1" applyAlignment="1">
      <alignment horizontal="left" vertical="center" wrapText="1"/>
    </xf>
    <xf numFmtId="0" fontId="10" fillId="0" borderId="0" xfId="0" applyFont="1" applyAlignment="1">
      <alignment horizontal="left" vertical="center" wrapText="1"/>
    </xf>
    <xf numFmtId="0" fontId="5" fillId="0" borderId="1" xfId="0" applyFont="1" applyBorder="1" applyAlignment="1">
      <alignment horizontal="justify" vertical="center" wrapText="1"/>
    </xf>
    <xf numFmtId="43" fontId="6" fillId="0" borderId="1" xfId="1" applyFont="1" applyBorder="1" applyAlignment="1">
      <alignment vertical="center" wrapText="1"/>
    </xf>
    <xf numFmtId="43" fontId="3" fillId="2" borderId="0" xfId="0" applyNumberFormat="1" applyFont="1" applyFill="1"/>
    <xf numFmtId="43" fontId="6" fillId="0" borderId="1" xfId="1" applyFont="1" applyBorder="1" applyAlignment="1">
      <alignment vertical="center"/>
    </xf>
    <xf numFmtId="43" fontId="8" fillId="4" borderId="1" xfId="1" applyFont="1" applyFill="1" applyBorder="1" applyAlignment="1">
      <alignment vertical="center" wrapText="1"/>
    </xf>
    <xf numFmtId="0" fontId="8" fillId="0" borderId="6" xfId="0" applyFont="1" applyFill="1" applyBorder="1" applyAlignment="1">
      <alignment horizontal="center" vertical="center" wrapText="1"/>
    </xf>
    <xf numFmtId="43" fontId="9" fillId="0" borderId="6" xfId="1" applyFont="1" applyFill="1" applyBorder="1" applyAlignment="1">
      <alignment vertical="center" wrapText="1"/>
    </xf>
    <xf numFmtId="4" fontId="8" fillId="0" borderId="0" xfId="0" applyNumberFormat="1" applyFont="1" applyFill="1" applyBorder="1" applyAlignment="1">
      <alignmen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43" fontId="2" fillId="0" borderId="0" xfId="1" applyFont="1" applyAlignment="1">
      <alignment horizontal="justify" vertical="center" wrapText="1"/>
    </xf>
    <xf numFmtId="0" fontId="2" fillId="4" borderId="1" xfId="0" applyFont="1" applyFill="1" applyBorder="1" applyAlignment="1">
      <alignment horizontal="center" vertical="center"/>
    </xf>
    <xf numFmtId="0" fontId="3" fillId="0" borderId="1" xfId="0" applyFont="1" applyBorder="1"/>
    <xf numFmtId="1" fontId="2" fillId="4"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2" fillId="4" borderId="1" xfId="0" applyFont="1" applyFill="1" applyBorder="1" applyAlignment="1">
      <alignment horizontal="left" vertical="center" wrapText="1"/>
    </xf>
    <xf numFmtId="4" fontId="2" fillId="4" borderId="1" xfId="0" applyNumberFormat="1" applyFont="1" applyFill="1" applyBorder="1" applyAlignment="1">
      <alignment horizontal="right" vertical="center" wrapText="1"/>
    </xf>
    <xf numFmtId="43" fontId="2" fillId="4" borderId="1" xfId="1" applyFont="1" applyFill="1" applyBorder="1" applyAlignment="1">
      <alignment horizontal="right" vertical="center" wrapText="1"/>
    </xf>
    <xf numFmtId="0" fontId="2" fillId="4" borderId="0" xfId="0" applyFont="1" applyFill="1" applyBorder="1" applyAlignment="1">
      <alignment horizontal="center" vertical="center" wrapText="1"/>
    </xf>
    <xf numFmtId="43" fontId="9" fillId="4" borderId="0" xfId="1" applyFont="1" applyFill="1" applyBorder="1" applyAlignment="1">
      <alignment horizontal="right" vertical="center" wrapText="1"/>
    </xf>
    <xf numFmtId="43" fontId="2" fillId="4" borderId="0" xfId="1" applyFont="1" applyFill="1" applyBorder="1" applyAlignment="1">
      <alignment horizontal="right" vertical="center" wrapText="1"/>
    </xf>
    <xf numFmtId="4" fontId="2" fillId="4" borderId="0" xfId="0" applyNumberFormat="1" applyFont="1" applyFill="1" applyBorder="1" applyAlignment="1">
      <alignment horizontal="right" vertical="center" wrapText="1"/>
    </xf>
    <xf numFmtId="43" fontId="5" fillId="0" borderId="1" xfId="1" applyFont="1" applyBorder="1" applyAlignment="1">
      <alignment horizontal="right" vertical="center" wrapText="1"/>
    </xf>
    <xf numFmtId="0" fontId="3" fillId="5" borderId="1" xfId="0" applyFont="1" applyFill="1" applyBorder="1" applyAlignment="1">
      <alignment vertical="center" wrapText="1"/>
    </xf>
    <xf numFmtId="4" fontId="3" fillId="0" borderId="1" xfId="0" applyNumberFormat="1" applyFont="1" applyBorder="1" applyAlignment="1">
      <alignment vertical="center"/>
    </xf>
    <xf numFmtId="4" fontId="13" fillId="2" borderId="0" xfId="0" applyNumberFormat="1" applyFont="1" applyFill="1"/>
    <xf numFmtId="4" fontId="14" fillId="2" borderId="0" xfId="0" applyNumberFormat="1" applyFont="1" applyFill="1"/>
    <xf numFmtId="0" fontId="4" fillId="10" borderId="1" xfId="0" applyFont="1" applyFill="1" applyBorder="1" applyAlignment="1">
      <alignment horizontal="center" vertical="center" wrapText="1"/>
    </xf>
    <xf numFmtId="43" fontId="5" fillId="0" borderId="1" xfId="1" applyFont="1" applyBorder="1" applyAlignment="1">
      <alignment horizontal="left" vertical="center" wrapText="1"/>
    </xf>
    <xf numFmtId="0" fontId="4" fillId="10" borderId="1" xfId="0" applyFont="1" applyFill="1" applyBorder="1" applyAlignment="1">
      <alignment horizontal="left" vertical="center" wrapText="1"/>
    </xf>
    <xf numFmtId="43" fontId="4" fillId="10" borderId="1" xfId="1" applyFont="1" applyFill="1" applyBorder="1" applyAlignment="1">
      <alignment horizontal="left" vertical="center" wrapText="1"/>
    </xf>
    <xf numFmtId="43" fontId="3" fillId="0" borderId="0" xfId="0" applyNumberFormat="1" applyFont="1"/>
    <xf numFmtId="0" fontId="3" fillId="6" borderId="1" xfId="0" applyFont="1" applyFill="1" applyBorder="1" applyAlignment="1">
      <alignment vertical="center" wrapText="1"/>
    </xf>
    <xf numFmtId="43" fontId="3" fillId="6" borderId="1" xfId="1" applyFont="1" applyFill="1" applyBorder="1" applyAlignment="1">
      <alignment horizontal="right" vertical="center"/>
    </xf>
    <xf numFmtId="0" fontId="2" fillId="4" borderId="1" xfId="0" applyFont="1" applyFill="1" applyBorder="1" applyAlignment="1">
      <alignment horizontal="justify" vertical="center" wrapText="1"/>
    </xf>
    <xf numFmtId="4" fontId="2" fillId="0" borderId="1" xfId="0" applyNumberFormat="1" applyFont="1" applyBorder="1" applyAlignment="1">
      <alignment vertical="center"/>
    </xf>
    <xf numFmtId="43" fontId="15" fillId="0" borderId="0" xfId="1" applyFont="1"/>
    <xf numFmtId="43" fontId="2" fillId="5" borderId="1" xfId="1" applyFont="1" applyFill="1" applyBorder="1" applyAlignment="1">
      <alignment horizontal="right" wrapText="1"/>
    </xf>
    <xf numFmtId="10" fontId="2" fillId="5" borderId="1" xfId="0" applyNumberFormat="1" applyFont="1" applyFill="1" applyBorder="1"/>
    <xf numFmtId="0" fontId="3" fillId="6"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4" fontId="3" fillId="3" borderId="1" xfId="0" applyNumberFormat="1" applyFont="1" applyFill="1" applyBorder="1" applyAlignment="1">
      <alignment horizontal="right" vertical="center"/>
    </xf>
    <xf numFmtId="43" fontId="3" fillId="3" borderId="1" xfId="1" applyFont="1" applyFill="1" applyBorder="1" applyAlignment="1">
      <alignment horizontal="right" vertical="center"/>
    </xf>
    <xf numFmtId="4" fontId="3" fillId="3" borderId="1" xfId="0" applyNumberFormat="1" applyFont="1" applyFill="1" applyBorder="1"/>
    <xf numFmtId="4" fontId="3" fillId="10" borderId="1" xfId="0" applyNumberFormat="1" applyFont="1" applyFill="1" applyBorder="1" applyAlignment="1">
      <alignment vertical="center"/>
    </xf>
    <xf numFmtId="4" fontId="6" fillId="0" borderId="1" xfId="0" applyNumberFormat="1" applyFont="1" applyBorder="1" applyAlignment="1">
      <alignment horizontal="right" vertical="center"/>
    </xf>
    <xf numFmtId="0" fontId="2" fillId="0" borderId="0" xfId="0" applyFont="1" applyFill="1" applyBorder="1" applyAlignment="1">
      <alignment horizontal="justify" vertical="center" wrapText="1"/>
    </xf>
    <xf numFmtId="43" fontId="2" fillId="0" borderId="0" xfId="1" applyFont="1" applyBorder="1" applyAlignment="1">
      <alignment horizontal="left" wrapText="1"/>
    </xf>
    <xf numFmtId="43" fontId="16" fillId="0" borderId="0" xfId="1" applyFont="1" applyFill="1" applyBorder="1" applyAlignment="1">
      <alignment horizontal="right" vertical="center"/>
    </xf>
    <xf numFmtId="4" fontId="2" fillId="0" borderId="0" xfId="0" applyNumberFormat="1" applyFont="1" applyBorder="1" applyAlignment="1">
      <alignment horizontal="left" wrapText="1"/>
    </xf>
    <xf numFmtId="0" fontId="2" fillId="5" borderId="0" xfId="0" applyFont="1" applyFill="1"/>
    <xf numFmtId="43" fontId="6" fillId="6" borderId="1" xfId="1" applyFont="1" applyFill="1" applyBorder="1" applyAlignment="1">
      <alignment horizontal="right" vertical="center"/>
    </xf>
    <xf numFmtId="43" fontId="3" fillId="0" borderId="1" xfId="1" applyFont="1" applyBorder="1" applyAlignment="1">
      <alignment vertical="center"/>
    </xf>
    <xf numFmtId="43" fontId="3" fillId="0" borderId="1" xfId="1" applyFont="1" applyBorder="1" applyAlignment="1">
      <alignment horizontal="center" vertical="center"/>
    </xf>
    <xf numFmtId="4" fontId="8"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2" fillId="4" borderId="0" xfId="0" applyFont="1" applyFill="1" applyBorder="1" applyAlignment="1">
      <alignment horizontal="justify" vertical="center" wrapText="1"/>
    </xf>
    <xf numFmtId="4" fontId="9" fillId="4" borderId="0" xfId="0" applyNumberFormat="1" applyFont="1" applyFill="1" applyBorder="1" applyAlignment="1">
      <alignment horizontal="right" vertical="center"/>
    </xf>
    <xf numFmtId="43" fontId="2" fillId="0" borderId="1" xfId="1" applyFont="1" applyFill="1" applyBorder="1" applyAlignment="1">
      <alignment horizontal="right" wrapText="1"/>
    </xf>
    <xf numFmtId="10" fontId="2" fillId="0" borderId="1" xfId="0" applyNumberFormat="1" applyFont="1" applyFill="1" applyBorder="1"/>
    <xf numFmtId="0" fontId="2" fillId="0" borderId="0" xfId="0" applyFont="1" applyFill="1" applyAlignment="1">
      <alignment horizontal="left" wrapText="1"/>
    </xf>
    <xf numFmtId="0" fontId="5" fillId="0" borderId="0" xfId="0" applyFont="1" applyFill="1" applyBorder="1" applyAlignment="1">
      <alignment horizontal="left" vertical="center" wrapText="1"/>
    </xf>
    <xf numFmtId="0" fontId="2" fillId="2" borderId="0" xfId="0" applyFont="1" applyFill="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2" fillId="10" borderId="1" xfId="0" applyFont="1" applyFill="1" applyBorder="1"/>
    <xf numFmtId="43" fontId="2" fillId="10" borderId="1" xfId="1" applyFont="1" applyFill="1" applyBorder="1" applyAlignment="1">
      <alignment horizontal="right"/>
    </xf>
    <xf numFmtId="0" fontId="3" fillId="0" borderId="0" xfId="0" applyFont="1" applyAlignment="1">
      <alignment horizontal="left" wrapText="1"/>
    </xf>
    <xf numFmtId="3" fontId="3" fillId="0" borderId="0" xfId="0" applyNumberFormat="1" applyFont="1"/>
    <xf numFmtId="3" fontId="3" fillId="0" borderId="0" xfId="0" applyNumberFormat="1"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0</xdr:colOff>
      <xdr:row>4</xdr:row>
      <xdr:rowOff>57150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632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47625</xdr:rowOff>
    </xdr:from>
    <xdr:to>
      <xdr:col>4</xdr:col>
      <xdr:colOff>657225</xdr:colOff>
      <xdr:row>38</xdr:row>
      <xdr:rowOff>76200</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08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9525</xdr:rowOff>
    </xdr:from>
    <xdr:to>
      <xdr:col>5</xdr:col>
      <xdr:colOff>0</xdr:colOff>
      <xdr:row>41</xdr:row>
      <xdr:rowOff>171450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93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97</xdr:row>
      <xdr:rowOff>114300</xdr:rowOff>
    </xdr:from>
    <xdr:to>
      <xdr:col>5</xdr:col>
      <xdr:colOff>0</xdr:colOff>
      <xdr:row>99</xdr:row>
      <xdr:rowOff>0</xdr:rowOff>
    </xdr:to>
    <xdr:pic>
      <xdr:nvPicPr>
        <xdr:cNvPr id="5"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1179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129</xdr:row>
      <xdr:rowOff>19050</xdr:rowOff>
    </xdr:from>
    <xdr:to>
      <xdr:col>5</xdr:col>
      <xdr:colOff>0</xdr:colOff>
      <xdr:row>132</xdr:row>
      <xdr:rowOff>28575</xdr:rowOff>
    </xdr:to>
    <xdr:pic>
      <xdr:nvPicPr>
        <xdr:cNvPr id="6"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366825"/>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171</xdr:row>
      <xdr:rowOff>123825</xdr:rowOff>
    </xdr:from>
    <xdr:to>
      <xdr:col>5</xdr:col>
      <xdr:colOff>0</xdr:colOff>
      <xdr:row>174</xdr:row>
      <xdr:rowOff>9525</xdr:rowOff>
    </xdr:to>
    <xdr:pic>
      <xdr:nvPicPr>
        <xdr:cNvPr id="7"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93014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228</xdr:row>
      <xdr:rowOff>95250</xdr:rowOff>
    </xdr:from>
    <xdr:to>
      <xdr:col>5</xdr:col>
      <xdr:colOff>0</xdr:colOff>
      <xdr:row>231</xdr:row>
      <xdr:rowOff>38100</xdr:rowOff>
    </xdr:to>
    <xdr:pic>
      <xdr:nvPicPr>
        <xdr:cNvPr id="8"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03595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404</xdr:row>
      <xdr:rowOff>66675</xdr:rowOff>
    </xdr:from>
    <xdr:to>
      <xdr:col>5</xdr:col>
      <xdr:colOff>0</xdr:colOff>
      <xdr:row>407</xdr:row>
      <xdr:rowOff>95250</xdr:rowOff>
    </xdr:to>
    <xdr:pic>
      <xdr:nvPicPr>
        <xdr:cNvPr id="9"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8762225"/>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457</xdr:row>
      <xdr:rowOff>76200</xdr:rowOff>
    </xdr:from>
    <xdr:to>
      <xdr:col>5</xdr:col>
      <xdr:colOff>0</xdr:colOff>
      <xdr:row>459</xdr:row>
      <xdr:rowOff>133350</xdr:rowOff>
    </xdr:to>
    <xdr:pic>
      <xdr:nvPicPr>
        <xdr:cNvPr id="10"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8982550"/>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495</xdr:row>
      <xdr:rowOff>85725</xdr:rowOff>
    </xdr:from>
    <xdr:to>
      <xdr:col>5</xdr:col>
      <xdr:colOff>0</xdr:colOff>
      <xdr:row>498</xdr:row>
      <xdr:rowOff>85725</xdr:rowOff>
    </xdr:to>
    <xdr:pic>
      <xdr:nvPicPr>
        <xdr:cNvPr id="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840925"/>
          <a:ext cx="6391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540</xdr:row>
      <xdr:rowOff>57150</xdr:rowOff>
    </xdr:from>
    <xdr:to>
      <xdr:col>5</xdr:col>
      <xdr:colOff>0</xdr:colOff>
      <xdr:row>543</xdr:row>
      <xdr:rowOff>85725</xdr:rowOff>
    </xdr:to>
    <xdr:pic>
      <xdr:nvPicPr>
        <xdr:cNvPr id="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852785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587</xdr:row>
      <xdr:rowOff>104775</xdr:rowOff>
    </xdr:from>
    <xdr:to>
      <xdr:col>5</xdr:col>
      <xdr:colOff>0</xdr:colOff>
      <xdr:row>589</xdr:row>
      <xdr:rowOff>0</xdr:rowOff>
    </xdr:to>
    <xdr:pic>
      <xdr:nvPicPr>
        <xdr:cNvPr id="13"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1850052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350</xdr:row>
      <xdr:rowOff>133350</xdr:rowOff>
    </xdr:from>
    <xdr:to>
      <xdr:col>5</xdr:col>
      <xdr:colOff>0</xdr:colOff>
      <xdr:row>353</xdr:row>
      <xdr:rowOff>76200</xdr:rowOff>
    </xdr:to>
    <xdr:pic>
      <xdr:nvPicPr>
        <xdr:cNvPr id="14"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93242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631</xdr:row>
      <xdr:rowOff>57150</xdr:rowOff>
    </xdr:from>
    <xdr:to>
      <xdr:col>5</xdr:col>
      <xdr:colOff>0</xdr:colOff>
      <xdr:row>634</xdr:row>
      <xdr:rowOff>123825</xdr:rowOff>
    </xdr:to>
    <xdr:pic>
      <xdr:nvPicPr>
        <xdr:cNvPr id="15"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2797790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316</xdr:row>
      <xdr:rowOff>190500</xdr:rowOff>
    </xdr:from>
    <xdr:to>
      <xdr:col>5</xdr:col>
      <xdr:colOff>0</xdr:colOff>
      <xdr:row>342</xdr:row>
      <xdr:rowOff>85725</xdr:rowOff>
    </xdr:to>
    <xdr:pic>
      <xdr:nvPicPr>
        <xdr:cNvPr id="16" name="20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725" y="62369700"/>
          <a:ext cx="63531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AILENY%20%20%202\ESTADO%20CORAAMOCA%20CG%2009%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sheetName val="BALANZA"/>
      <sheetName val="BALANZA G"/>
      <sheetName val="indce"/>
      <sheetName val="DE"/>
      <sheetName val="Pres A"/>
      <sheetName val="25A"/>
      <sheetName val="Mat"/>
      <sheetName val="Notas NF"/>
      <sheetName val="nota13"/>
      <sheetName val="ESF  (2)"/>
      <sheetName val="ES F "/>
      <sheetName val="ERF"/>
      <sheetName val="EFE2"/>
      <sheetName val="EP2"/>
      <sheetName val="EEP2"/>
      <sheetName val="A"/>
      <sheetName val="Hoja8"/>
      <sheetName val="nota10inventario"/>
      <sheetName val="Rt"/>
      <sheetName val="I"/>
      <sheetName val="G"/>
      <sheetName val="V"/>
      <sheetName val="ELAI"/>
      <sheetName val="IPT"/>
      <sheetName val="PEP"/>
      <sheetName val="Notas"/>
      <sheetName val="Hoja1"/>
      <sheetName val="RESULTADO"/>
      <sheetName val="EST.Ej.PREs."/>
      <sheetName val="FLUJO"/>
      <sheetName val="PATRIMONIO"/>
      <sheetName val="Rf"/>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Hoja2"/>
    </sheetNames>
    <sheetDataSet>
      <sheetData sheetId="0"/>
      <sheetData sheetId="1">
        <row r="3">
          <cell r="B3" t="str">
            <v>30 de Septiembre del 2024</v>
          </cell>
          <cell r="C3" t="str">
            <v>- 2023</v>
          </cell>
        </row>
        <row r="4">
          <cell r="B4">
            <v>2024</v>
          </cell>
          <cell r="C4">
            <v>2023</v>
          </cell>
        </row>
        <row r="21">
          <cell r="B21" t="str">
            <v>CUENTA  9604127870</v>
          </cell>
          <cell r="C21">
            <v>945949.71</v>
          </cell>
        </row>
      </sheetData>
      <sheetData sheetId="2">
        <row r="12">
          <cell r="C12">
            <v>0</v>
          </cell>
          <cell r="D12">
            <v>0</v>
          </cell>
        </row>
        <row r="13">
          <cell r="C13">
            <v>110000</v>
          </cell>
          <cell r="D13">
            <v>110000</v>
          </cell>
        </row>
        <row r="15">
          <cell r="C15">
            <v>80000</v>
          </cell>
          <cell r="D15">
            <v>80000</v>
          </cell>
        </row>
        <row r="22">
          <cell r="C22">
            <v>0</v>
          </cell>
          <cell r="D22">
            <v>0</v>
          </cell>
        </row>
        <row r="23">
          <cell r="C23">
            <v>274483.45</v>
          </cell>
          <cell r="D23">
            <v>271650.45</v>
          </cell>
        </row>
        <row r="24">
          <cell r="C24">
            <v>862317.46</v>
          </cell>
          <cell r="D24">
            <v>38274754.43</v>
          </cell>
        </row>
        <row r="25">
          <cell r="C25">
            <v>568543.36</v>
          </cell>
          <cell r="D25">
            <v>1505395.67</v>
          </cell>
        </row>
        <row r="26">
          <cell r="C26">
            <v>945949.71</v>
          </cell>
          <cell r="D26">
            <v>1016617.28</v>
          </cell>
        </row>
        <row r="27">
          <cell r="C27">
            <v>305969497.94</v>
          </cell>
          <cell r="D27">
            <v>157571535.74000001</v>
          </cell>
        </row>
        <row r="28">
          <cell r="C28">
            <v>0</v>
          </cell>
          <cell r="D28">
            <v>0</v>
          </cell>
        </row>
        <row r="30">
          <cell r="C30">
            <v>453000</v>
          </cell>
          <cell r="D30">
            <v>453000</v>
          </cell>
        </row>
        <row r="34">
          <cell r="C34">
            <v>1350.12</v>
          </cell>
          <cell r="D34">
            <v>13209579</v>
          </cell>
        </row>
        <row r="35">
          <cell r="C35">
            <v>1350.12</v>
          </cell>
        </row>
        <row r="40">
          <cell r="C40">
            <v>0</v>
          </cell>
          <cell r="D40">
            <v>0</v>
          </cell>
        </row>
        <row r="41">
          <cell r="C41">
            <v>21823739.640000001</v>
          </cell>
          <cell r="D41">
            <v>23878010</v>
          </cell>
        </row>
        <row r="48">
          <cell r="C48">
            <v>600396.96</v>
          </cell>
          <cell r="D48">
            <v>373212.74</v>
          </cell>
        </row>
        <row r="55">
          <cell r="C55">
            <v>1623675</v>
          </cell>
          <cell r="D55">
            <v>1623675</v>
          </cell>
          <cell r="F55">
            <v>1623675</v>
          </cell>
        </row>
        <row r="57">
          <cell r="J57">
            <v>0</v>
          </cell>
        </row>
        <row r="58">
          <cell r="C58">
            <v>953149176.46000004</v>
          </cell>
          <cell r="D58">
            <v>953149176.46000004</v>
          </cell>
        </row>
        <row r="59">
          <cell r="C59">
            <v>4120457.32</v>
          </cell>
          <cell r="D59">
            <v>3620347.32</v>
          </cell>
        </row>
        <row r="62">
          <cell r="C62">
            <v>52883325.560000002</v>
          </cell>
          <cell r="D62">
            <v>48572302.979999997</v>
          </cell>
          <cell r="F62">
            <v>38171024.979999997</v>
          </cell>
        </row>
        <row r="63">
          <cell r="C63">
            <v>10165018.76</v>
          </cell>
          <cell r="D63">
            <v>10165018.76</v>
          </cell>
        </row>
        <row r="66">
          <cell r="C66">
            <v>396650</v>
          </cell>
          <cell r="D66">
            <v>396650</v>
          </cell>
          <cell r="F66">
            <v>74900</v>
          </cell>
        </row>
        <row r="67">
          <cell r="C67">
            <v>5463229.0700000003</v>
          </cell>
          <cell r="D67">
            <v>5459449.0700000003</v>
          </cell>
        </row>
        <row r="69">
          <cell r="C69">
            <v>175165.5</v>
          </cell>
          <cell r="D69">
            <v>175165.5</v>
          </cell>
        </row>
        <row r="70">
          <cell r="C70">
            <v>24266945.620000001</v>
          </cell>
          <cell r="D70">
            <v>24188290.620000001</v>
          </cell>
        </row>
        <row r="72">
          <cell r="C72">
            <v>932591.88</v>
          </cell>
        </row>
        <row r="82">
          <cell r="C82">
            <v>145971.07</v>
          </cell>
          <cell r="D82">
            <v>14597.08</v>
          </cell>
        </row>
        <row r="86">
          <cell r="C86">
            <v>0</v>
          </cell>
          <cell r="D86">
            <v>0</v>
          </cell>
        </row>
        <row r="87">
          <cell r="C87">
            <v>3605.1</v>
          </cell>
          <cell r="D87">
            <v>6174.31</v>
          </cell>
        </row>
        <row r="88">
          <cell r="C88">
            <v>0</v>
          </cell>
          <cell r="D88">
            <v>0</v>
          </cell>
        </row>
        <row r="89">
          <cell r="C89">
            <v>172.63</v>
          </cell>
          <cell r="D89">
            <v>0</v>
          </cell>
        </row>
        <row r="90">
          <cell r="C90">
            <v>0</v>
          </cell>
          <cell r="D90">
            <v>95474.43</v>
          </cell>
        </row>
        <row r="91">
          <cell r="C91">
            <v>0.01</v>
          </cell>
          <cell r="D91">
            <v>54758.709999999992</v>
          </cell>
        </row>
        <row r="92">
          <cell r="C92">
            <v>0</v>
          </cell>
          <cell r="D92">
            <v>0</v>
          </cell>
        </row>
        <row r="93">
          <cell r="C93">
            <v>245647.9</v>
          </cell>
          <cell r="D93">
            <v>424122.01</v>
          </cell>
        </row>
        <row r="96">
          <cell r="C96">
            <v>0</v>
          </cell>
          <cell r="D96">
            <v>0</v>
          </cell>
        </row>
        <row r="97">
          <cell r="C97">
            <v>0</v>
          </cell>
          <cell r="D97">
            <v>0</v>
          </cell>
        </row>
        <row r="99">
          <cell r="C99">
            <v>18983520.399999999</v>
          </cell>
          <cell r="D99">
            <v>8832915.8499999996</v>
          </cell>
        </row>
        <row r="100">
          <cell r="C100">
            <v>7106.65</v>
          </cell>
          <cell r="D100">
            <v>7106.65</v>
          </cell>
        </row>
        <row r="101">
          <cell r="C101">
            <v>1436011.51</v>
          </cell>
          <cell r="D101">
            <v>1436011.51</v>
          </cell>
        </row>
        <row r="106">
          <cell r="C106">
            <v>252299.3</v>
          </cell>
          <cell r="D106">
            <v>252299.3</v>
          </cell>
        </row>
        <row r="107">
          <cell r="C107">
            <v>0</v>
          </cell>
          <cell r="D107">
            <v>0</v>
          </cell>
        </row>
        <row r="110">
          <cell r="C110">
            <v>0</v>
          </cell>
          <cell r="D110">
            <v>0</v>
          </cell>
        </row>
        <row r="119">
          <cell r="C119">
            <v>808793054.60000002</v>
          </cell>
          <cell r="D119">
            <v>808793054.60000002</v>
          </cell>
        </row>
        <row r="127">
          <cell r="C127">
            <v>133618055.92999999</v>
          </cell>
          <cell r="D127">
            <v>180816067.19999999</v>
          </cell>
        </row>
        <row r="139">
          <cell r="C139">
            <v>0</v>
          </cell>
        </row>
        <row r="143">
          <cell r="C143">
            <v>38086184</v>
          </cell>
        </row>
        <row r="144">
          <cell r="C144">
            <v>100470000</v>
          </cell>
        </row>
        <row r="145">
          <cell r="C145">
            <v>41657874.030000001</v>
          </cell>
        </row>
        <row r="152">
          <cell r="C152">
            <v>110611646</v>
          </cell>
          <cell r="D152">
            <v>149428043</v>
          </cell>
        </row>
        <row r="153">
          <cell r="C153">
            <v>0</v>
          </cell>
          <cell r="D153">
            <v>0</v>
          </cell>
        </row>
        <row r="154">
          <cell r="C154">
            <v>0</v>
          </cell>
          <cell r="D154">
            <v>0</v>
          </cell>
        </row>
        <row r="155">
          <cell r="C155">
            <v>0</v>
          </cell>
          <cell r="D155">
            <v>0</v>
          </cell>
        </row>
        <row r="156">
          <cell r="C156">
            <v>0</v>
          </cell>
          <cell r="D156">
            <v>0</v>
          </cell>
        </row>
        <row r="157">
          <cell r="C157">
            <v>0</v>
          </cell>
          <cell r="D157">
            <v>0</v>
          </cell>
        </row>
        <row r="158">
          <cell r="C158">
            <v>157477.34000000003</v>
          </cell>
          <cell r="D158">
            <v>207859.15</v>
          </cell>
        </row>
        <row r="159">
          <cell r="C159">
            <v>972315</v>
          </cell>
          <cell r="D159">
            <v>1266293.75</v>
          </cell>
        </row>
        <row r="160">
          <cell r="C160">
            <v>5010265</v>
          </cell>
          <cell r="D160">
            <v>6557004.2800000003</v>
          </cell>
        </row>
        <row r="161">
          <cell r="C161">
            <v>0</v>
          </cell>
          <cell r="D161">
            <v>0</v>
          </cell>
        </row>
        <row r="162">
          <cell r="C162">
            <v>0</v>
          </cell>
          <cell r="D162">
            <v>0</v>
          </cell>
        </row>
        <row r="163">
          <cell r="C163">
            <v>0</v>
          </cell>
          <cell r="D163">
            <v>0</v>
          </cell>
        </row>
        <row r="164">
          <cell r="C164">
            <v>1715.66</v>
          </cell>
          <cell r="D164">
            <v>794.4</v>
          </cell>
        </row>
        <row r="166">
          <cell r="C166">
            <v>0</v>
          </cell>
          <cell r="D166">
            <v>0</v>
          </cell>
        </row>
        <row r="167">
          <cell r="C167">
            <v>2110000</v>
          </cell>
          <cell r="D167">
            <v>2580000</v>
          </cell>
        </row>
        <row r="168">
          <cell r="C168">
            <v>0</v>
          </cell>
          <cell r="D168">
            <v>0</v>
          </cell>
        </row>
        <row r="169">
          <cell r="C169">
            <v>0</v>
          </cell>
          <cell r="D169">
            <v>0</v>
          </cell>
        </row>
        <row r="170">
          <cell r="C170">
            <v>0</v>
          </cell>
          <cell r="D170">
            <v>0</v>
          </cell>
        </row>
        <row r="172">
          <cell r="C172">
            <v>0</v>
          </cell>
          <cell r="D172">
            <v>12374295.220000001</v>
          </cell>
        </row>
        <row r="173">
          <cell r="C173">
            <v>0</v>
          </cell>
          <cell r="D173">
            <v>0</v>
          </cell>
        </row>
        <row r="174">
          <cell r="C174">
            <v>0</v>
          </cell>
          <cell r="D174">
            <v>0</v>
          </cell>
        </row>
        <row r="177">
          <cell r="C177">
            <v>7875421.7599999998</v>
          </cell>
          <cell r="D177">
            <v>10582363.359999999</v>
          </cell>
        </row>
        <row r="178">
          <cell r="C178">
            <v>6507842.0499999998</v>
          </cell>
          <cell r="D178">
            <v>10614032.710000001</v>
          </cell>
        </row>
        <row r="179">
          <cell r="C179">
            <v>2697889.09</v>
          </cell>
          <cell r="D179">
            <v>1774503.18</v>
          </cell>
        </row>
        <row r="185">
          <cell r="C185">
            <v>55900</v>
          </cell>
          <cell r="D185">
            <v>189211.5</v>
          </cell>
        </row>
        <row r="186">
          <cell r="C186">
            <v>0</v>
          </cell>
          <cell r="D186">
            <v>4917.5</v>
          </cell>
        </row>
        <row r="190">
          <cell r="C190">
            <v>164800</v>
          </cell>
          <cell r="D190">
            <v>652775</v>
          </cell>
        </row>
        <row r="191">
          <cell r="C191">
            <v>1296994.23</v>
          </cell>
          <cell r="D191">
            <v>1430007.26</v>
          </cell>
        </row>
        <row r="192">
          <cell r="C192">
            <v>563040.78</v>
          </cell>
          <cell r="D192">
            <v>1058072.45</v>
          </cell>
        </row>
        <row r="193">
          <cell r="C193">
            <v>0</v>
          </cell>
          <cell r="D193">
            <v>0</v>
          </cell>
        </row>
        <row r="194">
          <cell r="C194">
            <v>282224.49</v>
          </cell>
          <cell r="D194">
            <v>368449.57</v>
          </cell>
        </row>
        <row r="195">
          <cell r="C195">
            <v>47951377.799999997</v>
          </cell>
          <cell r="D195">
            <v>58090474.640000001</v>
          </cell>
        </row>
        <row r="196">
          <cell r="C196">
            <v>205465.68</v>
          </cell>
          <cell r="D196">
            <v>574721.78</v>
          </cell>
        </row>
        <row r="197">
          <cell r="C197">
            <v>593950</v>
          </cell>
          <cell r="D197">
            <v>1276469.5</v>
          </cell>
        </row>
        <row r="198">
          <cell r="C198">
            <v>564472.4</v>
          </cell>
          <cell r="D198">
            <v>158625.20000000001</v>
          </cell>
        </row>
        <row r="199">
          <cell r="C199">
            <v>0</v>
          </cell>
          <cell r="D199">
            <v>0</v>
          </cell>
        </row>
        <row r="200">
          <cell r="C200">
            <v>0</v>
          </cell>
          <cell r="D200">
            <v>0</v>
          </cell>
        </row>
        <row r="201">
          <cell r="C201">
            <v>0</v>
          </cell>
          <cell r="D201">
            <v>1300</v>
          </cell>
        </row>
        <row r="202">
          <cell r="C202">
            <v>175</v>
          </cell>
          <cell r="D202">
            <v>0</v>
          </cell>
        </row>
        <row r="203">
          <cell r="C203">
            <v>0</v>
          </cell>
          <cell r="D203">
            <v>0</v>
          </cell>
        </row>
        <row r="205">
          <cell r="C205">
            <v>438027.44</v>
          </cell>
          <cell r="D205">
            <v>2215371.86</v>
          </cell>
        </row>
        <row r="206">
          <cell r="C206">
            <v>62614.5</v>
          </cell>
          <cell r="D206">
            <v>295744.3</v>
          </cell>
        </row>
        <row r="207">
          <cell r="C207">
            <v>0</v>
          </cell>
          <cell r="D207">
            <v>0</v>
          </cell>
        </row>
        <row r="208">
          <cell r="C208">
            <v>292500</v>
          </cell>
          <cell r="D208">
            <v>317000</v>
          </cell>
        </row>
        <row r="209">
          <cell r="C209">
            <v>642000</v>
          </cell>
          <cell r="D209">
            <v>490880</v>
          </cell>
        </row>
        <row r="210">
          <cell r="C210">
            <v>0</v>
          </cell>
          <cell r="D210">
            <v>0</v>
          </cell>
        </row>
        <row r="211">
          <cell r="C211">
            <v>170699.58</v>
          </cell>
        </row>
        <row r="212">
          <cell r="C212">
            <v>343892.28</v>
          </cell>
          <cell r="D212">
            <v>403137.05</v>
          </cell>
        </row>
        <row r="213">
          <cell r="C213">
            <v>90096.48</v>
          </cell>
          <cell r="D213">
            <v>90096.48</v>
          </cell>
        </row>
        <row r="215">
          <cell r="C215">
            <v>1660846.17</v>
          </cell>
          <cell r="D215">
            <v>0</v>
          </cell>
        </row>
        <row r="216">
          <cell r="C216">
            <v>5000</v>
          </cell>
          <cell r="D216">
            <v>14650</v>
          </cell>
        </row>
        <row r="217">
          <cell r="C217">
            <v>2651189.16</v>
          </cell>
          <cell r="D217">
            <v>0</v>
          </cell>
        </row>
        <row r="218">
          <cell r="C218">
            <v>0</v>
          </cell>
          <cell r="D218">
            <v>0</v>
          </cell>
        </row>
        <row r="219">
          <cell r="C219">
            <v>0</v>
          </cell>
          <cell r="D219">
            <v>0</v>
          </cell>
        </row>
        <row r="220">
          <cell r="C220">
            <v>278895.28999999998</v>
          </cell>
          <cell r="D220">
            <v>509632.25</v>
          </cell>
        </row>
        <row r="221">
          <cell r="C221">
            <v>4162.24</v>
          </cell>
          <cell r="D221">
            <v>3370</v>
          </cell>
        </row>
        <row r="222">
          <cell r="C222">
            <v>15500</v>
          </cell>
          <cell r="D222">
            <v>0</v>
          </cell>
        </row>
        <row r="223">
          <cell r="C223">
            <v>0</v>
          </cell>
          <cell r="D223">
            <v>0</v>
          </cell>
        </row>
        <row r="224">
          <cell r="C224">
            <v>0</v>
          </cell>
          <cell r="D224">
            <v>215</v>
          </cell>
        </row>
        <row r="225">
          <cell r="C225">
            <v>893370.51</v>
          </cell>
          <cell r="D225">
            <v>1171682.69</v>
          </cell>
        </row>
        <row r="226">
          <cell r="C226">
            <v>220000</v>
          </cell>
          <cell r="D226">
            <v>430700</v>
          </cell>
        </row>
        <row r="227">
          <cell r="C227">
            <v>6002.95</v>
          </cell>
          <cell r="D227">
            <v>20180.25</v>
          </cell>
        </row>
        <row r="228">
          <cell r="C228">
            <v>17840.349999999999</v>
          </cell>
          <cell r="D228">
            <v>18953.13</v>
          </cell>
        </row>
        <row r="229">
          <cell r="C229">
            <v>0</v>
          </cell>
          <cell r="D229">
            <v>0</v>
          </cell>
        </row>
        <row r="231">
          <cell r="C231">
            <v>0</v>
          </cell>
          <cell r="D231">
            <v>0</v>
          </cell>
        </row>
        <row r="232">
          <cell r="C232">
            <v>55322.03</v>
          </cell>
          <cell r="D232">
            <v>0</v>
          </cell>
        </row>
        <row r="233">
          <cell r="C233">
            <v>594176.49</v>
          </cell>
          <cell r="D233">
            <v>746207.89</v>
          </cell>
        </row>
        <row r="234">
          <cell r="C234">
            <v>25915.84</v>
          </cell>
          <cell r="D234">
            <v>58070</v>
          </cell>
        </row>
        <row r="235">
          <cell r="C235">
            <v>0</v>
          </cell>
          <cell r="D235">
            <v>0</v>
          </cell>
        </row>
        <row r="236">
          <cell r="C236">
            <v>223728.81</v>
          </cell>
          <cell r="D236">
            <v>911694.92</v>
          </cell>
        </row>
        <row r="237">
          <cell r="C237">
            <v>521700</v>
          </cell>
          <cell r="D237">
            <v>431554.45</v>
          </cell>
        </row>
        <row r="238">
          <cell r="C238">
            <v>3573326.63</v>
          </cell>
          <cell r="D238">
            <v>7349859.8600000003</v>
          </cell>
        </row>
        <row r="239">
          <cell r="C239">
            <v>0</v>
          </cell>
          <cell r="D239">
            <v>0</v>
          </cell>
        </row>
        <row r="244">
          <cell r="C244">
            <v>436575.44</v>
          </cell>
          <cell r="D244">
            <v>930598.16</v>
          </cell>
        </row>
        <row r="246">
          <cell r="C246">
            <v>10612.02</v>
          </cell>
          <cell r="D246">
            <v>411396.45</v>
          </cell>
        </row>
        <row r="247">
          <cell r="C247">
            <v>0</v>
          </cell>
          <cell r="D247">
            <v>0</v>
          </cell>
        </row>
        <row r="248">
          <cell r="C248">
            <v>0</v>
          </cell>
          <cell r="D248">
            <v>626856.94999999995</v>
          </cell>
        </row>
        <row r="249">
          <cell r="C249">
            <v>0</v>
          </cell>
          <cell r="D249">
            <v>81000</v>
          </cell>
        </row>
        <row r="250">
          <cell r="C250">
            <v>89365.05</v>
          </cell>
          <cell r="D250">
            <v>744907.05</v>
          </cell>
        </row>
        <row r="251">
          <cell r="C251">
            <v>204450</v>
          </cell>
          <cell r="D251">
            <v>0</v>
          </cell>
        </row>
        <row r="252">
          <cell r="C252">
            <v>120780.5</v>
          </cell>
          <cell r="D252">
            <v>169002.59</v>
          </cell>
        </row>
        <row r="254">
          <cell r="C254">
            <v>4456150</v>
          </cell>
          <cell r="D254">
            <v>5615150</v>
          </cell>
        </row>
        <row r="255">
          <cell r="C255">
            <v>2091040</v>
          </cell>
          <cell r="D255">
            <v>3499250</v>
          </cell>
        </row>
        <row r="256">
          <cell r="C256">
            <v>0</v>
          </cell>
          <cell r="D256">
            <v>1610</v>
          </cell>
        </row>
        <row r="257">
          <cell r="C257">
            <v>126124</v>
          </cell>
          <cell r="D257">
            <v>315568</v>
          </cell>
        </row>
        <row r="258">
          <cell r="C258">
            <v>2941124.24</v>
          </cell>
          <cell r="D258">
            <v>5679825.3499999996</v>
          </cell>
        </row>
        <row r="259">
          <cell r="C259">
            <v>0</v>
          </cell>
          <cell r="D259">
            <v>1812713.22</v>
          </cell>
        </row>
        <row r="260">
          <cell r="C260">
            <v>7825</v>
          </cell>
          <cell r="D260">
            <v>15292</v>
          </cell>
        </row>
        <row r="261">
          <cell r="C261">
            <v>0</v>
          </cell>
          <cell r="D261">
            <v>540059.31999999995</v>
          </cell>
        </row>
        <row r="263">
          <cell r="C263">
            <v>123855.43</v>
          </cell>
          <cell r="D263">
            <v>139210.54999999999</v>
          </cell>
        </row>
        <row r="264">
          <cell r="C264">
            <v>75870.52</v>
          </cell>
          <cell r="D264">
            <v>200704.1</v>
          </cell>
        </row>
        <row r="265">
          <cell r="C265">
            <v>86666.22</v>
          </cell>
          <cell r="D265">
            <v>243936.25</v>
          </cell>
        </row>
        <row r="266">
          <cell r="C266">
            <v>6090.98</v>
          </cell>
          <cell r="D266">
            <v>25611.4</v>
          </cell>
        </row>
        <row r="267">
          <cell r="C267">
            <v>373320.35</v>
          </cell>
          <cell r="D267">
            <v>590058.01</v>
          </cell>
        </row>
        <row r="268">
          <cell r="C268">
            <v>1775</v>
          </cell>
          <cell r="D268">
            <v>411054</v>
          </cell>
        </row>
        <row r="269">
          <cell r="C269">
            <v>33877.919999999998</v>
          </cell>
          <cell r="D269">
            <v>39658.51</v>
          </cell>
        </row>
        <row r="270">
          <cell r="C270">
            <v>0</v>
          </cell>
          <cell r="D270">
            <v>16500</v>
          </cell>
        </row>
        <row r="271">
          <cell r="C271">
            <v>4366500</v>
          </cell>
          <cell r="D271">
            <v>6068538.6200000001</v>
          </cell>
        </row>
        <row r="272">
          <cell r="C272">
            <v>0</v>
          </cell>
          <cell r="D272">
            <v>14268.2</v>
          </cell>
        </row>
        <row r="273">
          <cell r="C273">
            <v>2542.37</v>
          </cell>
          <cell r="D273">
            <v>32661.42</v>
          </cell>
        </row>
        <row r="274">
          <cell r="C274">
            <v>2615424.4700000002</v>
          </cell>
          <cell r="D274">
            <v>-538813.13000000082</v>
          </cell>
        </row>
        <row r="275">
          <cell r="C275">
            <v>637636</v>
          </cell>
          <cell r="D275">
            <v>139450</v>
          </cell>
        </row>
        <row r="276">
          <cell r="C276">
            <v>0</v>
          </cell>
          <cell r="D276">
            <v>0</v>
          </cell>
        </row>
        <row r="277">
          <cell r="C277">
            <v>0</v>
          </cell>
          <cell r="D277">
            <v>0</v>
          </cell>
        </row>
        <row r="278">
          <cell r="C278">
            <v>349911.52</v>
          </cell>
          <cell r="D278">
            <v>1961163.28</v>
          </cell>
        </row>
        <row r="279">
          <cell r="C279">
            <v>0</v>
          </cell>
          <cell r="D279">
            <v>214850</v>
          </cell>
        </row>
        <row r="280">
          <cell r="C280">
            <v>0</v>
          </cell>
          <cell r="D280">
            <v>0</v>
          </cell>
        </row>
        <row r="281">
          <cell r="C281">
            <v>0</v>
          </cell>
          <cell r="D281">
            <v>300901.5</v>
          </cell>
        </row>
        <row r="282">
          <cell r="C282">
            <v>186061.85</v>
          </cell>
          <cell r="D282">
            <v>269996.28000000003</v>
          </cell>
        </row>
        <row r="283">
          <cell r="C283">
            <v>139400</v>
          </cell>
          <cell r="D283">
            <v>440250</v>
          </cell>
        </row>
        <row r="284">
          <cell r="C284">
            <v>0</v>
          </cell>
          <cell r="D284">
            <v>736479.11</v>
          </cell>
        </row>
        <row r="286">
          <cell r="C286">
            <v>0</v>
          </cell>
          <cell r="D286">
            <v>0</v>
          </cell>
        </row>
        <row r="287">
          <cell r="C287">
            <v>0</v>
          </cell>
          <cell r="D287">
            <v>0</v>
          </cell>
        </row>
        <row r="290">
          <cell r="C290">
            <v>771784.7</v>
          </cell>
          <cell r="D290">
            <v>3816377.92</v>
          </cell>
        </row>
        <row r="291">
          <cell r="C291">
            <v>0</v>
          </cell>
          <cell r="D291">
            <v>391500</v>
          </cell>
        </row>
        <row r="292">
          <cell r="D292">
            <v>0</v>
          </cell>
        </row>
      </sheetData>
      <sheetData sheetId="3"/>
      <sheetData sheetId="4"/>
      <sheetData sheetId="5">
        <row r="289">
          <cell r="E289">
            <v>21195285</v>
          </cell>
        </row>
        <row r="290">
          <cell r="E290">
            <v>55543832</v>
          </cell>
        </row>
        <row r="291">
          <cell r="E291">
            <v>118200000</v>
          </cell>
        </row>
        <row r="295">
          <cell r="E295">
            <v>233274064.41999999</v>
          </cell>
        </row>
      </sheetData>
      <sheetData sheetId="6"/>
      <sheetData sheetId="7"/>
      <sheetData sheetId="8">
        <row r="601">
          <cell r="C601">
            <v>433988.76</v>
          </cell>
          <cell r="D601">
            <v>493233.52999999997</v>
          </cell>
        </row>
      </sheetData>
      <sheetData sheetId="9">
        <row r="14">
          <cell r="K14">
            <v>47465209.639999986</v>
          </cell>
        </row>
        <row r="28">
          <cell r="E28">
            <v>220360422.87</v>
          </cell>
          <cell r="F28">
            <v>24689545.350000001</v>
          </cell>
          <cell r="H28">
            <v>10876825.58</v>
          </cell>
          <cell r="I28">
            <v>34810179.979999997</v>
          </cell>
        </row>
        <row r="29">
          <cell r="E29">
            <v>25248051.370000005</v>
          </cell>
          <cell r="F29">
            <v>780111.56999999832</v>
          </cell>
          <cell r="G29">
            <v>8638.7799999999988</v>
          </cell>
          <cell r="H29">
            <v>340373.11999999965</v>
          </cell>
          <cell r="I29">
            <v>1668929.1400000006</v>
          </cell>
          <cell r="K29">
            <v>28046103.980000004</v>
          </cell>
        </row>
      </sheetData>
      <sheetData sheetId="10"/>
      <sheetData sheetId="11">
        <row r="11">
          <cell r="B11">
            <v>308730791.92000002</v>
          </cell>
        </row>
        <row r="12">
          <cell r="B12">
            <v>453000</v>
          </cell>
        </row>
        <row r="15">
          <cell r="B15">
            <v>21823739.640000001</v>
          </cell>
        </row>
        <row r="16">
          <cell r="B16">
            <v>600396.96</v>
          </cell>
        </row>
        <row r="17">
          <cell r="B17">
            <v>193172</v>
          </cell>
          <cell r="C17">
            <v>193172</v>
          </cell>
        </row>
        <row r="36">
          <cell r="B36">
            <v>501724.93999999994</v>
          </cell>
        </row>
        <row r="59">
          <cell r="B59">
            <v>1109930167.96</v>
          </cell>
          <cell r="C59">
            <v>1044940074.5800002</v>
          </cell>
        </row>
      </sheetData>
      <sheetData sheetId="12">
        <row r="11">
          <cell r="B11">
            <v>133618055.92999999</v>
          </cell>
        </row>
        <row r="12">
          <cell r="B12">
            <v>180214058.03</v>
          </cell>
        </row>
        <row r="13">
          <cell r="B13">
            <v>0</v>
          </cell>
        </row>
        <row r="17">
          <cell r="B17">
            <v>136716356.59999999</v>
          </cell>
        </row>
        <row r="18">
          <cell r="B18">
            <v>0</v>
          </cell>
        </row>
        <row r="19">
          <cell r="B19">
            <v>19702978.879999999</v>
          </cell>
        </row>
        <row r="20">
          <cell r="B20">
            <v>28177477.970000006</v>
          </cell>
          <cell r="C20">
            <v>47703205.719999984</v>
          </cell>
        </row>
        <row r="22">
          <cell r="B22">
            <v>63651030.640000001</v>
          </cell>
        </row>
        <row r="23">
          <cell r="B23">
            <v>594176.49</v>
          </cell>
        </row>
        <row r="30">
          <cell r="C30">
            <v>-88398085.719999969</v>
          </cell>
        </row>
        <row r="35">
          <cell r="B35">
            <v>64990093.379999995</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0">
          <cell r="E10">
            <v>89115851.49000001</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25">
          <cell r="D25">
            <v>1598764</v>
          </cell>
          <cell r="E25">
            <v>1598764</v>
          </cell>
          <cell r="F25">
            <v>15225006</v>
          </cell>
          <cell r="G25">
            <v>3277275</v>
          </cell>
          <cell r="H25">
            <v>3277275</v>
          </cell>
          <cell r="I25">
            <v>3277275</v>
          </cell>
          <cell r="J25">
            <v>3277275</v>
          </cell>
          <cell r="K25">
            <v>3277275</v>
          </cell>
          <cell r="L25">
            <v>3277275</v>
          </cell>
          <cell r="M25">
            <v>0</v>
          </cell>
          <cell r="N25">
            <v>0</v>
          </cell>
          <cell r="O25">
            <v>0</v>
          </cell>
        </row>
        <row r="26">
          <cell r="D26">
            <v>0</v>
          </cell>
          <cell r="E26">
            <v>41370000</v>
          </cell>
          <cell r="F26">
            <v>0</v>
          </cell>
          <cell r="G26">
            <v>0</v>
          </cell>
          <cell r="H26">
            <v>0</v>
          </cell>
          <cell r="I26">
            <v>0</v>
          </cell>
          <cell r="J26">
            <v>0</v>
          </cell>
          <cell r="K26">
            <v>0</v>
          </cell>
          <cell r="L26">
            <v>59100000</v>
          </cell>
          <cell r="M26">
            <v>0</v>
          </cell>
          <cell r="N26">
            <v>0</v>
          </cell>
          <cell r="O26">
            <v>0</v>
          </cell>
        </row>
        <row r="27">
          <cell r="D27">
            <v>4628652.67</v>
          </cell>
          <cell r="E27">
            <v>4628652.67</v>
          </cell>
          <cell r="F27">
            <v>4628652.67</v>
          </cell>
          <cell r="G27">
            <v>4628652.67</v>
          </cell>
          <cell r="H27">
            <v>4628652.67</v>
          </cell>
          <cell r="I27">
            <v>4628652.67</v>
          </cell>
          <cell r="J27">
            <v>4628652.67</v>
          </cell>
          <cell r="K27">
            <v>4628652.67</v>
          </cell>
          <cell r="L27">
            <v>4628652.67</v>
          </cell>
          <cell r="M27">
            <v>0</v>
          </cell>
          <cell r="N27">
            <v>0</v>
          </cell>
          <cell r="O27">
            <v>0</v>
          </cell>
        </row>
      </sheetData>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B772"/>
  <sheetViews>
    <sheetView tabSelected="1" workbookViewId="0">
      <selection sqref="A1:XFD1048576"/>
    </sheetView>
  </sheetViews>
  <sheetFormatPr baseColWidth="10" defaultColWidth="9.140625" defaultRowHeight="15" x14ac:dyDescent="0.25"/>
  <cols>
    <col min="1" max="1" width="1.28515625" style="2" customWidth="1"/>
    <col min="2" max="2" width="43.42578125" style="19" customWidth="1"/>
    <col min="3" max="3" width="17.85546875" style="2" customWidth="1"/>
    <col min="4" max="4" width="18.5703125" style="3" customWidth="1"/>
    <col min="5" max="5" width="17.140625" style="2" customWidth="1"/>
    <col min="6" max="6" width="1" style="2" customWidth="1"/>
    <col min="7" max="7" width="7" style="2" bestFit="1" customWidth="1"/>
    <col min="8" max="8" width="7" style="2" hidden="1" customWidth="1"/>
    <col min="9" max="9" width="31" style="2" hidden="1" customWidth="1"/>
    <col min="10" max="10" width="5.28515625" style="3" customWidth="1"/>
    <col min="11" max="13" width="5.28515625" style="2" customWidth="1"/>
    <col min="14" max="14" width="5.28515625" style="3" customWidth="1"/>
    <col min="15" max="15" width="31" style="2" hidden="1" customWidth="1"/>
    <col min="16" max="16" width="5.5703125" style="2" hidden="1" customWidth="1"/>
    <col min="17" max="17" width="31" style="2" hidden="1" customWidth="1"/>
    <col min="18" max="18" width="15" style="4" bestFit="1" customWidth="1"/>
    <col min="19" max="19" width="11.7109375" style="4" bestFit="1" customWidth="1"/>
    <col min="20" max="22" width="4" style="4" bestFit="1" customWidth="1"/>
    <col min="23" max="23" width="3.5703125" style="4" bestFit="1" customWidth="1"/>
    <col min="24" max="24" width="3.5703125" style="4" hidden="1" customWidth="1"/>
    <col min="25" max="25" width="31" style="4" hidden="1" customWidth="1"/>
    <col min="26" max="26" width="12.85546875" style="3" bestFit="1" customWidth="1"/>
    <col min="27" max="27" width="5.140625" style="2" bestFit="1" customWidth="1"/>
    <col min="28" max="28" width="8.85546875" style="2" customWidth="1"/>
    <col min="29" max="256" width="9.140625" style="2"/>
    <col min="257" max="257" width="1.28515625" style="2" customWidth="1"/>
    <col min="258" max="258" width="43.42578125" style="2" customWidth="1"/>
    <col min="259" max="259" width="17.85546875" style="2" customWidth="1"/>
    <col min="260" max="260" width="18.5703125" style="2" customWidth="1"/>
    <col min="261" max="261" width="17.140625" style="2" customWidth="1"/>
    <col min="262" max="262" width="1" style="2" customWidth="1"/>
    <col min="263" max="263" width="7" style="2" bestFit="1" customWidth="1"/>
    <col min="264" max="265" width="0" style="2" hidden="1" customWidth="1"/>
    <col min="266" max="270" width="5.28515625" style="2" customWidth="1"/>
    <col min="271" max="273" width="0" style="2" hidden="1" customWidth="1"/>
    <col min="274" max="274" width="15" style="2" bestFit="1" customWidth="1"/>
    <col min="275" max="275" width="11.7109375" style="2" bestFit="1" customWidth="1"/>
    <col min="276" max="278" width="4" style="2" bestFit="1" customWidth="1"/>
    <col min="279" max="279" width="3.5703125" style="2" bestFit="1" customWidth="1"/>
    <col min="280" max="281" width="0" style="2" hidden="1" customWidth="1"/>
    <col min="282" max="282" width="12.85546875" style="2" bestFit="1" customWidth="1"/>
    <col min="283" max="283" width="5.140625" style="2" bestFit="1" customWidth="1"/>
    <col min="284" max="284" width="8.85546875" style="2" customWidth="1"/>
    <col min="285" max="512" width="9.140625" style="2"/>
    <col min="513" max="513" width="1.28515625" style="2" customWidth="1"/>
    <col min="514" max="514" width="43.42578125" style="2" customWidth="1"/>
    <col min="515" max="515" width="17.85546875" style="2" customWidth="1"/>
    <col min="516" max="516" width="18.5703125" style="2" customWidth="1"/>
    <col min="517" max="517" width="17.140625" style="2" customWidth="1"/>
    <col min="518" max="518" width="1" style="2" customWidth="1"/>
    <col min="519" max="519" width="7" style="2" bestFit="1" customWidth="1"/>
    <col min="520" max="521" width="0" style="2" hidden="1" customWidth="1"/>
    <col min="522" max="526" width="5.28515625" style="2" customWidth="1"/>
    <col min="527" max="529" width="0" style="2" hidden="1" customWidth="1"/>
    <col min="530" max="530" width="15" style="2" bestFit="1" customWidth="1"/>
    <col min="531" max="531" width="11.7109375" style="2" bestFit="1" customWidth="1"/>
    <col min="532" max="534" width="4" style="2" bestFit="1" customWidth="1"/>
    <col min="535" max="535" width="3.5703125" style="2" bestFit="1" customWidth="1"/>
    <col min="536" max="537" width="0" style="2" hidden="1" customWidth="1"/>
    <col min="538" max="538" width="12.85546875" style="2" bestFit="1" customWidth="1"/>
    <col min="539" max="539" width="5.140625" style="2" bestFit="1" customWidth="1"/>
    <col min="540" max="540" width="8.85546875" style="2" customWidth="1"/>
    <col min="541" max="768" width="9.140625" style="2"/>
    <col min="769" max="769" width="1.28515625" style="2" customWidth="1"/>
    <col min="770" max="770" width="43.42578125" style="2" customWidth="1"/>
    <col min="771" max="771" width="17.85546875" style="2" customWidth="1"/>
    <col min="772" max="772" width="18.5703125" style="2" customWidth="1"/>
    <col min="773" max="773" width="17.140625" style="2" customWidth="1"/>
    <col min="774" max="774" width="1" style="2" customWidth="1"/>
    <col min="775" max="775" width="7" style="2" bestFit="1" customWidth="1"/>
    <col min="776" max="777" width="0" style="2" hidden="1" customWidth="1"/>
    <col min="778" max="782" width="5.28515625" style="2" customWidth="1"/>
    <col min="783" max="785" width="0" style="2" hidden="1" customWidth="1"/>
    <col min="786" max="786" width="15" style="2" bestFit="1" customWidth="1"/>
    <col min="787" max="787" width="11.7109375" style="2" bestFit="1" customWidth="1"/>
    <col min="788" max="790" width="4" style="2" bestFit="1" customWidth="1"/>
    <col min="791" max="791" width="3.5703125" style="2" bestFit="1" customWidth="1"/>
    <col min="792" max="793" width="0" style="2" hidden="1" customWidth="1"/>
    <col min="794" max="794" width="12.85546875" style="2" bestFit="1" customWidth="1"/>
    <col min="795" max="795" width="5.140625" style="2" bestFit="1" customWidth="1"/>
    <col min="796" max="796" width="8.85546875" style="2" customWidth="1"/>
    <col min="797" max="1024" width="9.140625" style="2"/>
    <col min="1025" max="1025" width="1.28515625" style="2" customWidth="1"/>
    <col min="1026" max="1026" width="43.42578125" style="2" customWidth="1"/>
    <col min="1027" max="1027" width="17.85546875" style="2" customWidth="1"/>
    <col min="1028" max="1028" width="18.5703125" style="2" customWidth="1"/>
    <col min="1029" max="1029" width="17.140625" style="2" customWidth="1"/>
    <col min="1030" max="1030" width="1" style="2" customWidth="1"/>
    <col min="1031" max="1031" width="7" style="2" bestFit="1" customWidth="1"/>
    <col min="1032" max="1033" width="0" style="2" hidden="1" customWidth="1"/>
    <col min="1034" max="1038" width="5.28515625" style="2" customWidth="1"/>
    <col min="1039" max="1041" width="0" style="2" hidden="1" customWidth="1"/>
    <col min="1042" max="1042" width="15" style="2" bestFit="1" customWidth="1"/>
    <col min="1043" max="1043" width="11.7109375" style="2" bestFit="1" customWidth="1"/>
    <col min="1044" max="1046" width="4" style="2" bestFit="1" customWidth="1"/>
    <col min="1047" max="1047" width="3.5703125" style="2" bestFit="1" customWidth="1"/>
    <col min="1048" max="1049" width="0" style="2" hidden="1" customWidth="1"/>
    <col min="1050" max="1050" width="12.85546875" style="2" bestFit="1" customWidth="1"/>
    <col min="1051" max="1051" width="5.140625" style="2" bestFit="1" customWidth="1"/>
    <col min="1052" max="1052" width="8.85546875" style="2" customWidth="1"/>
    <col min="1053" max="1280" width="9.140625" style="2"/>
    <col min="1281" max="1281" width="1.28515625" style="2" customWidth="1"/>
    <col min="1282" max="1282" width="43.42578125" style="2" customWidth="1"/>
    <col min="1283" max="1283" width="17.85546875" style="2" customWidth="1"/>
    <col min="1284" max="1284" width="18.5703125" style="2" customWidth="1"/>
    <col min="1285" max="1285" width="17.140625" style="2" customWidth="1"/>
    <col min="1286" max="1286" width="1" style="2" customWidth="1"/>
    <col min="1287" max="1287" width="7" style="2" bestFit="1" customWidth="1"/>
    <col min="1288" max="1289" width="0" style="2" hidden="1" customWidth="1"/>
    <col min="1290" max="1294" width="5.28515625" style="2" customWidth="1"/>
    <col min="1295" max="1297" width="0" style="2" hidden="1" customWidth="1"/>
    <col min="1298" max="1298" width="15" style="2" bestFit="1" customWidth="1"/>
    <col min="1299" max="1299" width="11.7109375" style="2" bestFit="1" customWidth="1"/>
    <col min="1300" max="1302" width="4" style="2" bestFit="1" customWidth="1"/>
    <col min="1303" max="1303" width="3.5703125" style="2" bestFit="1" customWidth="1"/>
    <col min="1304" max="1305" width="0" style="2" hidden="1" customWidth="1"/>
    <col min="1306" max="1306" width="12.85546875" style="2" bestFit="1" customWidth="1"/>
    <col min="1307" max="1307" width="5.140625" style="2" bestFit="1" customWidth="1"/>
    <col min="1308" max="1308" width="8.85546875" style="2" customWidth="1"/>
    <col min="1309" max="1536" width="9.140625" style="2"/>
    <col min="1537" max="1537" width="1.28515625" style="2" customWidth="1"/>
    <col min="1538" max="1538" width="43.42578125" style="2" customWidth="1"/>
    <col min="1539" max="1539" width="17.85546875" style="2" customWidth="1"/>
    <col min="1540" max="1540" width="18.5703125" style="2" customWidth="1"/>
    <col min="1541" max="1541" width="17.140625" style="2" customWidth="1"/>
    <col min="1542" max="1542" width="1" style="2" customWidth="1"/>
    <col min="1543" max="1543" width="7" style="2" bestFit="1" customWidth="1"/>
    <col min="1544" max="1545" width="0" style="2" hidden="1" customWidth="1"/>
    <col min="1546" max="1550" width="5.28515625" style="2" customWidth="1"/>
    <col min="1551" max="1553" width="0" style="2" hidden="1" customWidth="1"/>
    <col min="1554" max="1554" width="15" style="2" bestFit="1" customWidth="1"/>
    <col min="1555" max="1555" width="11.7109375" style="2" bestFit="1" customWidth="1"/>
    <col min="1556" max="1558" width="4" style="2" bestFit="1" customWidth="1"/>
    <col min="1559" max="1559" width="3.5703125" style="2" bestFit="1" customWidth="1"/>
    <col min="1560" max="1561" width="0" style="2" hidden="1" customWidth="1"/>
    <col min="1562" max="1562" width="12.85546875" style="2" bestFit="1" customWidth="1"/>
    <col min="1563" max="1563" width="5.140625" style="2" bestFit="1" customWidth="1"/>
    <col min="1564" max="1564" width="8.85546875" style="2" customWidth="1"/>
    <col min="1565" max="1792" width="9.140625" style="2"/>
    <col min="1793" max="1793" width="1.28515625" style="2" customWidth="1"/>
    <col min="1794" max="1794" width="43.42578125" style="2" customWidth="1"/>
    <col min="1795" max="1795" width="17.85546875" style="2" customWidth="1"/>
    <col min="1796" max="1796" width="18.5703125" style="2" customWidth="1"/>
    <col min="1797" max="1797" width="17.140625" style="2" customWidth="1"/>
    <col min="1798" max="1798" width="1" style="2" customWidth="1"/>
    <col min="1799" max="1799" width="7" style="2" bestFit="1" customWidth="1"/>
    <col min="1800" max="1801" width="0" style="2" hidden="1" customWidth="1"/>
    <col min="1802" max="1806" width="5.28515625" style="2" customWidth="1"/>
    <col min="1807" max="1809" width="0" style="2" hidden="1" customWidth="1"/>
    <col min="1810" max="1810" width="15" style="2" bestFit="1" customWidth="1"/>
    <col min="1811" max="1811" width="11.7109375" style="2" bestFit="1" customWidth="1"/>
    <col min="1812" max="1814" width="4" style="2" bestFit="1" customWidth="1"/>
    <col min="1815" max="1815" width="3.5703125" style="2" bestFit="1" customWidth="1"/>
    <col min="1816" max="1817" width="0" style="2" hidden="1" customWidth="1"/>
    <col min="1818" max="1818" width="12.85546875" style="2" bestFit="1" customWidth="1"/>
    <col min="1819" max="1819" width="5.140625" style="2" bestFit="1" customWidth="1"/>
    <col min="1820" max="1820" width="8.85546875" style="2" customWidth="1"/>
    <col min="1821" max="2048" width="9.140625" style="2"/>
    <col min="2049" max="2049" width="1.28515625" style="2" customWidth="1"/>
    <col min="2050" max="2050" width="43.42578125" style="2" customWidth="1"/>
    <col min="2051" max="2051" width="17.85546875" style="2" customWidth="1"/>
    <col min="2052" max="2052" width="18.5703125" style="2" customWidth="1"/>
    <col min="2053" max="2053" width="17.140625" style="2" customWidth="1"/>
    <col min="2054" max="2054" width="1" style="2" customWidth="1"/>
    <col min="2055" max="2055" width="7" style="2" bestFit="1" customWidth="1"/>
    <col min="2056" max="2057" width="0" style="2" hidden="1" customWidth="1"/>
    <col min="2058" max="2062" width="5.28515625" style="2" customWidth="1"/>
    <col min="2063" max="2065" width="0" style="2" hidden="1" customWidth="1"/>
    <col min="2066" max="2066" width="15" style="2" bestFit="1" customWidth="1"/>
    <col min="2067" max="2067" width="11.7109375" style="2" bestFit="1" customWidth="1"/>
    <col min="2068" max="2070" width="4" style="2" bestFit="1" customWidth="1"/>
    <col min="2071" max="2071" width="3.5703125" style="2" bestFit="1" customWidth="1"/>
    <col min="2072" max="2073" width="0" style="2" hidden="1" customWidth="1"/>
    <col min="2074" max="2074" width="12.85546875" style="2" bestFit="1" customWidth="1"/>
    <col min="2075" max="2075" width="5.140625" style="2" bestFit="1" customWidth="1"/>
    <col min="2076" max="2076" width="8.85546875" style="2" customWidth="1"/>
    <col min="2077" max="2304" width="9.140625" style="2"/>
    <col min="2305" max="2305" width="1.28515625" style="2" customWidth="1"/>
    <col min="2306" max="2306" width="43.42578125" style="2" customWidth="1"/>
    <col min="2307" max="2307" width="17.85546875" style="2" customWidth="1"/>
    <col min="2308" max="2308" width="18.5703125" style="2" customWidth="1"/>
    <col min="2309" max="2309" width="17.140625" style="2" customWidth="1"/>
    <col min="2310" max="2310" width="1" style="2" customWidth="1"/>
    <col min="2311" max="2311" width="7" style="2" bestFit="1" customWidth="1"/>
    <col min="2312" max="2313" width="0" style="2" hidden="1" customWidth="1"/>
    <col min="2314" max="2318" width="5.28515625" style="2" customWidth="1"/>
    <col min="2319" max="2321" width="0" style="2" hidden="1" customWidth="1"/>
    <col min="2322" max="2322" width="15" style="2" bestFit="1" customWidth="1"/>
    <col min="2323" max="2323" width="11.7109375" style="2" bestFit="1" customWidth="1"/>
    <col min="2324" max="2326" width="4" style="2" bestFit="1" customWidth="1"/>
    <col min="2327" max="2327" width="3.5703125" style="2" bestFit="1" customWidth="1"/>
    <col min="2328" max="2329" width="0" style="2" hidden="1" customWidth="1"/>
    <col min="2330" max="2330" width="12.85546875" style="2" bestFit="1" customWidth="1"/>
    <col min="2331" max="2331" width="5.140625" style="2" bestFit="1" customWidth="1"/>
    <col min="2332" max="2332" width="8.85546875" style="2" customWidth="1"/>
    <col min="2333" max="2560" width="9.140625" style="2"/>
    <col min="2561" max="2561" width="1.28515625" style="2" customWidth="1"/>
    <col min="2562" max="2562" width="43.42578125" style="2" customWidth="1"/>
    <col min="2563" max="2563" width="17.85546875" style="2" customWidth="1"/>
    <col min="2564" max="2564" width="18.5703125" style="2" customWidth="1"/>
    <col min="2565" max="2565" width="17.140625" style="2" customWidth="1"/>
    <col min="2566" max="2566" width="1" style="2" customWidth="1"/>
    <col min="2567" max="2567" width="7" style="2" bestFit="1" customWidth="1"/>
    <col min="2568" max="2569" width="0" style="2" hidden="1" customWidth="1"/>
    <col min="2570" max="2574" width="5.28515625" style="2" customWidth="1"/>
    <col min="2575" max="2577" width="0" style="2" hidden="1" customWidth="1"/>
    <col min="2578" max="2578" width="15" style="2" bestFit="1" customWidth="1"/>
    <col min="2579" max="2579" width="11.7109375" style="2" bestFit="1" customWidth="1"/>
    <col min="2580" max="2582" width="4" style="2" bestFit="1" customWidth="1"/>
    <col min="2583" max="2583" width="3.5703125" style="2" bestFit="1" customWidth="1"/>
    <col min="2584" max="2585" width="0" style="2" hidden="1" customWidth="1"/>
    <col min="2586" max="2586" width="12.85546875" style="2" bestFit="1" customWidth="1"/>
    <col min="2587" max="2587" width="5.140625" style="2" bestFit="1" customWidth="1"/>
    <col min="2588" max="2588" width="8.85546875" style="2" customWidth="1"/>
    <col min="2589" max="2816" width="9.140625" style="2"/>
    <col min="2817" max="2817" width="1.28515625" style="2" customWidth="1"/>
    <col min="2818" max="2818" width="43.42578125" style="2" customWidth="1"/>
    <col min="2819" max="2819" width="17.85546875" style="2" customWidth="1"/>
    <col min="2820" max="2820" width="18.5703125" style="2" customWidth="1"/>
    <col min="2821" max="2821" width="17.140625" style="2" customWidth="1"/>
    <col min="2822" max="2822" width="1" style="2" customWidth="1"/>
    <col min="2823" max="2823" width="7" style="2" bestFit="1" customWidth="1"/>
    <col min="2824" max="2825" width="0" style="2" hidden="1" customWidth="1"/>
    <col min="2826" max="2830" width="5.28515625" style="2" customWidth="1"/>
    <col min="2831" max="2833" width="0" style="2" hidden="1" customWidth="1"/>
    <col min="2834" max="2834" width="15" style="2" bestFit="1" customWidth="1"/>
    <col min="2835" max="2835" width="11.7109375" style="2" bestFit="1" customWidth="1"/>
    <col min="2836" max="2838" width="4" style="2" bestFit="1" customWidth="1"/>
    <col min="2839" max="2839" width="3.5703125" style="2" bestFit="1" customWidth="1"/>
    <col min="2840" max="2841" width="0" style="2" hidden="1" customWidth="1"/>
    <col min="2842" max="2842" width="12.85546875" style="2" bestFit="1" customWidth="1"/>
    <col min="2843" max="2843" width="5.140625" style="2" bestFit="1" customWidth="1"/>
    <col min="2844" max="2844" width="8.85546875" style="2" customWidth="1"/>
    <col min="2845" max="3072" width="9.140625" style="2"/>
    <col min="3073" max="3073" width="1.28515625" style="2" customWidth="1"/>
    <col min="3074" max="3074" width="43.42578125" style="2" customWidth="1"/>
    <col min="3075" max="3075" width="17.85546875" style="2" customWidth="1"/>
    <col min="3076" max="3076" width="18.5703125" style="2" customWidth="1"/>
    <col min="3077" max="3077" width="17.140625" style="2" customWidth="1"/>
    <col min="3078" max="3078" width="1" style="2" customWidth="1"/>
    <col min="3079" max="3079" width="7" style="2" bestFit="1" customWidth="1"/>
    <col min="3080" max="3081" width="0" style="2" hidden="1" customWidth="1"/>
    <col min="3082" max="3086" width="5.28515625" style="2" customWidth="1"/>
    <col min="3087" max="3089" width="0" style="2" hidden="1" customWidth="1"/>
    <col min="3090" max="3090" width="15" style="2" bestFit="1" customWidth="1"/>
    <col min="3091" max="3091" width="11.7109375" style="2" bestFit="1" customWidth="1"/>
    <col min="3092" max="3094" width="4" style="2" bestFit="1" customWidth="1"/>
    <col min="3095" max="3095" width="3.5703125" style="2" bestFit="1" customWidth="1"/>
    <col min="3096" max="3097" width="0" style="2" hidden="1" customWidth="1"/>
    <col min="3098" max="3098" width="12.85546875" style="2" bestFit="1" customWidth="1"/>
    <col min="3099" max="3099" width="5.140625" style="2" bestFit="1" customWidth="1"/>
    <col min="3100" max="3100" width="8.85546875" style="2" customWidth="1"/>
    <col min="3101" max="3328" width="9.140625" style="2"/>
    <col min="3329" max="3329" width="1.28515625" style="2" customWidth="1"/>
    <col min="3330" max="3330" width="43.42578125" style="2" customWidth="1"/>
    <col min="3331" max="3331" width="17.85546875" style="2" customWidth="1"/>
    <col min="3332" max="3332" width="18.5703125" style="2" customWidth="1"/>
    <col min="3333" max="3333" width="17.140625" style="2" customWidth="1"/>
    <col min="3334" max="3334" width="1" style="2" customWidth="1"/>
    <col min="3335" max="3335" width="7" style="2" bestFit="1" customWidth="1"/>
    <col min="3336" max="3337" width="0" style="2" hidden="1" customWidth="1"/>
    <col min="3338" max="3342" width="5.28515625" style="2" customWidth="1"/>
    <col min="3343" max="3345" width="0" style="2" hidden="1" customWidth="1"/>
    <col min="3346" max="3346" width="15" style="2" bestFit="1" customWidth="1"/>
    <col min="3347" max="3347" width="11.7109375" style="2" bestFit="1" customWidth="1"/>
    <col min="3348" max="3350" width="4" style="2" bestFit="1" customWidth="1"/>
    <col min="3351" max="3351" width="3.5703125" style="2" bestFit="1" customWidth="1"/>
    <col min="3352" max="3353" width="0" style="2" hidden="1" customWidth="1"/>
    <col min="3354" max="3354" width="12.85546875" style="2" bestFit="1" customWidth="1"/>
    <col min="3355" max="3355" width="5.140625" style="2" bestFit="1" customWidth="1"/>
    <col min="3356" max="3356" width="8.85546875" style="2" customWidth="1"/>
    <col min="3357" max="3584" width="9.140625" style="2"/>
    <col min="3585" max="3585" width="1.28515625" style="2" customWidth="1"/>
    <col min="3586" max="3586" width="43.42578125" style="2" customWidth="1"/>
    <col min="3587" max="3587" width="17.85546875" style="2" customWidth="1"/>
    <col min="3588" max="3588" width="18.5703125" style="2" customWidth="1"/>
    <col min="3589" max="3589" width="17.140625" style="2" customWidth="1"/>
    <col min="3590" max="3590" width="1" style="2" customWidth="1"/>
    <col min="3591" max="3591" width="7" style="2" bestFit="1" customWidth="1"/>
    <col min="3592" max="3593" width="0" style="2" hidden="1" customWidth="1"/>
    <col min="3594" max="3598" width="5.28515625" style="2" customWidth="1"/>
    <col min="3599" max="3601" width="0" style="2" hidden="1" customWidth="1"/>
    <col min="3602" max="3602" width="15" style="2" bestFit="1" customWidth="1"/>
    <col min="3603" max="3603" width="11.7109375" style="2" bestFit="1" customWidth="1"/>
    <col min="3604" max="3606" width="4" style="2" bestFit="1" customWidth="1"/>
    <col min="3607" max="3607" width="3.5703125" style="2" bestFit="1" customWidth="1"/>
    <col min="3608" max="3609" width="0" style="2" hidden="1" customWidth="1"/>
    <col min="3610" max="3610" width="12.85546875" style="2" bestFit="1" customWidth="1"/>
    <col min="3611" max="3611" width="5.140625" style="2" bestFit="1" customWidth="1"/>
    <col min="3612" max="3612" width="8.85546875" style="2" customWidth="1"/>
    <col min="3613" max="3840" width="9.140625" style="2"/>
    <col min="3841" max="3841" width="1.28515625" style="2" customWidth="1"/>
    <col min="3842" max="3842" width="43.42578125" style="2" customWidth="1"/>
    <col min="3843" max="3843" width="17.85546875" style="2" customWidth="1"/>
    <col min="3844" max="3844" width="18.5703125" style="2" customWidth="1"/>
    <col min="3845" max="3845" width="17.140625" style="2" customWidth="1"/>
    <col min="3846" max="3846" width="1" style="2" customWidth="1"/>
    <col min="3847" max="3847" width="7" style="2" bestFit="1" customWidth="1"/>
    <col min="3848" max="3849" width="0" style="2" hidden="1" customWidth="1"/>
    <col min="3850" max="3854" width="5.28515625" style="2" customWidth="1"/>
    <col min="3855" max="3857" width="0" style="2" hidden="1" customWidth="1"/>
    <col min="3858" max="3858" width="15" style="2" bestFit="1" customWidth="1"/>
    <col min="3859" max="3859" width="11.7109375" style="2" bestFit="1" customWidth="1"/>
    <col min="3860" max="3862" width="4" style="2" bestFit="1" customWidth="1"/>
    <col min="3863" max="3863" width="3.5703125" style="2" bestFit="1" customWidth="1"/>
    <col min="3864" max="3865" width="0" style="2" hidden="1" customWidth="1"/>
    <col min="3866" max="3866" width="12.85546875" style="2" bestFit="1" customWidth="1"/>
    <col min="3867" max="3867" width="5.140625" style="2" bestFit="1" customWidth="1"/>
    <col min="3868" max="3868" width="8.85546875" style="2" customWidth="1"/>
    <col min="3869" max="4096" width="9.140625" style="2"/>
    <col min="4097" max="4097" width="1.28515625" style="2" customWidth="1"/>
    <col min="4098" max="4098" width="43.42578125" style="2" customWidth="1"/>
    <col min="4099" max="4099" width="17.85546875" style="2" customWidth="1"/>
    <col min="4100" max="4100" width="18.5703125" style="2" customWidth="1"/>
    <col min="4101" max="4101" width="17.140625" style="2" customWidth="1"/>
    <col min="4102" max="4102" width="1" style="2" customWidth="1"/>
    <col min="4103" max="4103" width="7" style="2" bestFit="1" customWidth="1"/>
    <col min="4104" max="4105" width="0" style="2" hidden="1" customWidth="1"/>
    <col min="4106" max="4110" width="5.28515625" style="2" customWidth="1"/>
    <col min="4111" max="4113" width="0" style="2" hidden="1" customWidth="1"/>
    <col min="4114" max="4114" width="15" style="2" bestFit="1" customWidth="1"/>
    <col min="4115" max="4115" width="11.7109375" style="2" bestFit="1" customWidth="1"/>
    <col min="4116" max="4118" width="4" style="2" bestFit="1" customWidth="1"/>
    <col min="4119" max="4119" width="3.5703125" style="2" bestFit="1" customWidth="1"/>
    <col min="4120" max="4121" width="0" style="2" hidden="1" customWidth="1"/>
    <col min="4122" max="4122" width="12.85546875" style="2" bestFit="1" customWidth="1"/>
    <col min="4123" max="4123" width="5.140625" style="2" bestFit="1" customWidth="1"/>
    <col min="4124" max="4124" width="8.85546875" style="2" customWidth="1"/>
    <col min="4125" max="4352" width="9.140625" style="2"/>
    <col min="4353" max="4353" width="1.28515625" style="2" customWidth="1"/>
    <col min="4354" max="4354" width="43.42578125" style="2" customWidth="1"/>
    <col min="4355" max="4355" width="17.85546875" style="2" customWidth="1"/>
    <col min="4356" max="4356" width="18.5703125" style="2" customWidth="1"/>
    <col min="4357" max="4357" width="17.140625" style="2" customWidth="1"/>
    <col min="4358" max="4358" width="1" style="2" customWidth="1"/>
    <col min="4359" max="4359" width="7" style="2" bestFit="1" customWidth="1"/>
    <col min="4360" max="4361" width="0" style="2" hidden="1" customWidth="1"/>
    <col min="4362" max="4366" width="5.28515625" style="2" customWidth="1"/>
    <col min="4367" max="4369" width="0" style="2" hidden="1" customWidth="1"/>
    <col min="4370" max="4370" width="15" style="2" bestFit="1" customWidth="1"/>
    <col min="4371" max="4371" width="11.7109375" style="2" bestFit="1" customWidth="1"/>
    <col min="4372" max="4374" width="4" style="2" bestFit="1" customWidth="1"/>
    <col min="4375" max="4375" width="3.5703125" style="2" bestFit="1" customWidth="1"/>
    <col min="4376" max="4377" width="0" style="2" hidden="1" customWidth="1"/>
    <col min="4378" max="4378" width="12.85546875" style="2" bestFit="1" customWidth="1"/>
    <col min="4379" max="4379" width="5.140625" style="2" bestFit="1" customWidth="1"/>
    <col min="4380" max="4380" width="8.85546875" style="2" customWidth="1"/>
    <col min="4381" max="4608" width="9.140625" style="2"/>
    <col min="4609" max="4609" width="1.28515625" style="2" customWidth="1"/>
    <col min="4610" max="4610" width="43.42578125" style="2" customWidth="1"/>
    <col min="4611" max="4611" width="17.85546875" style="2" customWidth="1"/>
    <col min="4612" max="4612" width="18.5703125" style="2" customWidth="1"/>
    <col min="4613" max="4613" width="17.140625" style="2" customWidth="1"/>
    <col min="4614" max="4614" width="1" style="2" customWidth="1"/>
    <col min="4615" max="4615" width="7" style="2" bestFit="1" customWidth="1"/>
    <col min="4616" max="4617" width="0" style="2" hidden="1" customWidth="1"/>
    <col min="4618" max="4622" width="5.28515625" style="2" customWidth="1"/>
    <col min="4623" max="4625" width="0" style="2" hidden="1" customWidth="1"/>
    <col min="4626" max="4626" width="15" style="2" bestFit="1" customWidth="1"/>
    <col min="4627" max="4627" width="11.7109375" style="2" bestFit="1" customWidth="1"/>
    <col min="4628" max="4630" width="4" style="2" bestFit="1" customWidth="1"/>
    <col min="4631" max="4631" width="3.5703125" style="2" bestFit="1" customWidth="1"/>
    <col min="4632" max="4633" width="0" style="2" hidden="1" customWidth="1"/>
    <col min="4634" max="4634" width="12.85546875" style="2" bestFit="1" customWidth="1"/>
    <col min="4635" max="4635" width="5.140625" style="2" bestFit="1" customWidth="1"/>
    <col min="4636" max="4636" width="8.85546875" style="2" customWidth="1"/>
    <col min="4637" max="4864" width="9.140625" style="2"/>
    <col min="4865" max="4865" width="1.28515625" style="2" customWidth="1"/>
    <col min="4866" max="4866" width="43.42578125" style="2" customWidth="1"/>
    <col min="4867" max="4867" width="17.85546875" style="2" customWidth="1"/>
    <col min="4868" max="4868" width="18.5703125" style="2" customWidth="1"/>
    <col min="4869" max="4869" width="17.140625" style="2" customWidth="1"/>
    <col min="4870" max="4870" width="1" style="2" customWidth="1"/>
    <col min="4871" max="4871" width="7" style="2" bestFit="1" customWidth="1"/>
    <col min="4872" max="4873" width="0" style="2" hidden="1" customWidth="1"/>
    <col min="4874" max="4878" width="5.28515625" style="2" customWidth="1"/>
    <col min="4879" max="4881" width="0" style="2" hidden="1" customWidth="1"/>
    <col min="4882" max="4882" width="15" style="2" bestFit="1" customWidth="1"/>
    <col min="4883" max="4883" width="11.7109375" style="2" bestFit="1" customWidth="1"/>
    <col min="4884" max="4886" width="4" style="2" bestFit="1" customWidth="1"/>
    <col min="4887" max="4887" width="3.5703125" style="2" bestFit="1" customWidth="1"/>
    <col min="4888" max="4889" width="0" style="2" hidden="1" customWidth="1"/>
    <col min="4890" max="4890" width="12.85546875" style="2" bestFit="1" customWidth="1"/>
    <col min="4891" max="4891" width="5.140625" style="2" bestFit="1" customWidth="1"/>
    <col min="4892" max="4892" width="8.85546875" style="2" customWidth="1"/>
    <col min="4893" max="5120" width="9.140625" style="2"/>
    <col min="5121" max="5121" width="1.28515625" style="2" customWidth="1"/>
    <col min="5122" max="5122" width="43.42578125" style="2" customWidth="1"/>
    <col min="5123" max="5123" width="17.85546875" style="2" customWidth="1"/>
    <col min="5124" max="5124" width="18.5703125" style="2" customWidth="1"/>
    <col min="5125" max="5125" width="17.140625" style="2" customWidth="1"/>
    <col min="5126" max="5126" width="1" style="2" customWidth="1"/>
    <col min="5127" max="5127" width="7" style="2" bestFit="1" customWidth="1"/>
    <col min="5128" max="5129" width="0" style="2" hidden="1" customWidth="1"/>
    <col min="5130" max="5134" width="5.28515625" style="2" customWidth="1"/>
    <col min="5135" max="5137" width="0" style="2" hidden="1" customWidth="1"/>
    <col min="5138" max="5138" width="15" style="2" bestFit="1" customWidth="1"/>
    <col min="5139" max="5139" width="11.7109375" style="2" bestFit="1" customWidth="1"/>
    <col min="5140" max="5142" width="4" style="2" bestFit="1" customWidth="1"/>
    <col min="5143" max="5143" width="3.5703125" style="2" bestFit="1" customWidth="1"/>
    <col min="5144" max="5145" width="0" style="2" hidden="1" customWidth="1"/>
    <col min="5146" max="5146" width="12.85546875" style="2" bestFit="1" customWidth="1"/>
    <col min="5147" max="5147" width="5.140625" style="2" bestFit="1" customWidth="1"/>
    <col min="5148" max="5148" width="8.85546875" style="2" customWidth="1"/>
    <col min="5149" max="5376" width="9.140625" style="2"/>
    <col min="5377" max="5377" width="1.28515625" style="2" customWidth="1"/>
    <col min="5378" max="5378" width="43.42578125" style="2" customWidth="1"/>
    <col min="5379" max="5379" width="17.85546875" style="2" customWidth="1"/>
    <col min="5380" max="5380" width="18.5703125" style="2" customWidth="1"/>
    <col min="5381" max="5381" width="17.140625" style="2" customWidth="1"/>
    <col min="5382" max="5382" width="1" style="2" customWidth="1"/>
    <col min="5383" max="5383" width="7" style="2" bestFit="1" customWidth="1"/>
    <col min="5384" max="5385" width="0" style="2" hidden="1" customWidth="1"/>
    <col min="5386" max="5390" width="5.28515625" style="2" customWidth="1"/>
    <col min="5391" max="5393" width="0" style="2" hidden="1" customWidth="1"/>
    <col min="5394" max="5394" width="15" style="2" bestFit="1" customWidth="1"/>
    <col min="5395" max="5395" width="11.7109375" style="2" bestFit="1" customWidth="1"/>
    <col min="5396" max="5398" width="4" style="2" bestFit="1" customWidth="1"/>
    <col min="5399" max="5399" width="3.5703125" style="2" bestFit="1" customWidth="1"/>
    <col min="5400" max="5401" width="0" style="2" hidden="1" customWidth="1"/>
    <col min="5402" max="5402" width="12.85546875" style="2" bestFit="1" customWidth="1"/>
    <col min="5403" max="5403" width="5.140625" style="2" bestFit="1" customWidth="1"/>
    <col min="5404" max="5404" width="8.85546875" style="2" customWidth="1"/>
    <col min="5405" max="5632" width="9.140625" style="2"/>
    <col min="5633" max="5633" width="1.28515625" style="2" customWidth="1"/>
    <col min="5634" max="5634" width="43.42578125" style="2" customWidth="1"/>
    <col min="5635" max="5635" width="17.85546875" style="2" customWidth="1"/>
    <col min="5636" max="5636" width="18.5703125" style="2" customWidth="1"/>
    <col min="5637" max="5637" width="17.140625" style="2" customWidth="1"/>
    <col min="5638" max="5638" width="1" style="2" customWidth="1"/>
    <col min="5639" max="5639" width="7" style="2" bestFit="1" customWidth="1"/>
    <col min="5640" max="5641" width="0" style="2" hidden="1" customWidth="1"/>
    <col min="5642" max="5646" width="5.28515625" style="2" customWidth="1"/>
    <col min="5647" max="5649" width="0" style="2" hidden="1" customWidth="1"/>
    <col min="5650" max="5650" width="15" style="2" bestFit="1" customWidth="1"/>
    <col min="5651" max="5651" width="11.7109375" style="2" bestFit="1" customWidth="1"/>
    <col min="5652" max="5654" width="4" style="2" bestFit="1" customWidth="1"/>
    <col min="5655" max="5655" width="3.5703125" style="2" bestFit="1" customWidth="1"/>
    <col min="5656" max="5657" width="0" style="2" hidden="1" customWidth="1"/>
    <col min="5658" max="5658" width="12.85546875" style="2" bestFit="1" customWidth="1"/>
    <col min="5659" max="5659" width="5.140625" style="2" bestFit="1" customWidth="1"/>
    <col min="5660" max="5660" width="8.85546875" style="2" customWidth="1"/>
    <col min="5661" max="5888" width="9.140625" style="2"/>
    <col min="5889" max="5889" width="1.28515625" style="2" customWidth="1"/>
    <col min="5890" max="5890" width="43.42578125" style="2" customWidth="1"/>
    <col min="5891" max="5891" width="17.85546875" style="2" customWidth="1"/>
    <col min="5892" max="5892" width="18.5703125" style="2" customWidth="1"/>
    <col min="5893" max="5893" width="17.140625" style="2" customWidth="1"/>
    <col min="5894" max="5894" width="1" style="2" customWidth="1"/>
    <col min="5895" max="5895" width="7" style="2" bestFit="1" customWidth="1"/>
    <col min="5896" max="5897" width="0" style="2" hidden="1" customWidth="1"/>
    <col min="5898" max="5902" width="5.28515625" style="2" customWidth="1"/>
    <col min="5903" max="5905" width="0" style="2" hidden="1" customWidth="1"/>
    <col min="5906" max="5906" width="15" style="2" bestFit="1" customWidth="1"/>
    <col min="5907" max="5907" width="11.7109375" style="2" bestFit="1" customWidth="1"/>
    <col min="5908" max="5910" width="4" style="2" bestFit="1" customWidth="1"/>
    <col min="5911" max="5911" width="3.5703125" style="2" bestFit="1" customWidth="1"/>
    <col min="5912" max="5913" width="0" style="2" hidden="1" customWidth="1"/>
    <col min="5914" max="5914" width="12.85546875" style="2" bestFit="1" customWidth="1"/>
    <col min="5915" max="5915" width="5.140625" style="2" bestFit="1" customWidth="1"/>
    <col min="5916" max="5916" width="8.85546875" style="2" customWidth="1"/>
    <col min="5917" max="6144" width="9.140625" style="2"/>
    <col min="6145" max="6145" width="1.28515625" style="2" customWidth="1"/>
    <col min="6146" max="6146" width="43.42578125" style="2" customWidth="1"/>
    <col min="6147" max="6147" width="17.85546875" style="2" customWidth="1"/>
    <col min="6148" max="6148" width="18.5703125" style="2" customWidth="1"/>
    <col min="6149" max="6149" width="17.140625" style="2" customWidth="1"/>
    <col min="6150" max="6150" width="1" style="2" customWidth="1"/>
    <col min="6151" max="6151" width="7" style="2" bestFit="1" customWidth="1"/>
    <col min="6152" max="6153" width="0" style="2" hidden="1" customWidth="1"/>
    <col min="6154" max="6158" width="5.28515625" style="2" customWidth="1"/>
    <col min="6159" max="6161" width="0" style="2" hidden="1" customWidth="1"/>
    <col min="6162" max="6162" width="15" style="2" bestFit="1" customWidth="1"/>
    <col min="6163" max="6163" width="11.7109375" style="2" bestFit="1" customWidth="1"/>
    <col min="6164" max="6166" width="4" style="2" bestFit="1" customWidth="1"/>
    <col min="6167" max="6167" width="3.5703125" style="2" bestFit="1" customWidth="1"/>
    <col min="6168" max="6169" width="0" style="2" hidden="1" customWidth="1"/>
    <col min="6170" max="6170" width="12.85546875" style="2" bestFit="1" customWidth="1"/>
    <col min="6171" max="6171" width="5.140625" style="2" bestFit="1" customWidth="1"/>
    <col min="6172" max="6172" width="8.85546875" style="2" customWidth="1"/>
    <col min="6173" max="6400" width="9.140625" style="2"/>
    <col min="6401" max="6401" width="1.28515625" style="2" customWidth="1"/>
    <col min="6402" max="6402" width="43.42578125" style="2" customWidth="1"/>
    <col min="6403" max="6403" width="17.85546875" style="2" customWidth="1"/>
    <col min="6404" max="6404" width="18.5703125" style="2" customWidth="1"/>
    <col min="6405" max="6405" width="17.140625" style="2" customWidth="1"/>
    <col min="6406" max="6406" width="1" style="2" customWidth="1"/>
    <col min="6407" max="6407" width="7" style="2" bestFit="1" customWidth="1"/>
    <col min="6408" max="6409" width="0" style="2" hidden="1" customWidth="1"/>
    <col min="6410" max="6414" width="5.28515625" style="2" customWidth="1"/>
    <col min="6415" max="6417" width="0" style="2" hidden="1" customWidth="1"/>
    <col min="6418" max="6418" width="15" style="2" bestFit="1" customWidth="1"/>
    <col min="6419" max="6419" width="11.7109375" style="2" bestFit="1" customWidth="1"/>
    <col min="6420" max="6422" width="4" style="2" bestFit="1" customWidth="1"/>
    <col min="6423" max="6423" width="3.5703125" style="2" bestFit="1" customWidth="1"/>
    <col min="6424" max="6425" width="0" style="2" hidden="1" customWidth="1"/>
    <col min="6426" max="6426" width="12.85546875" style="2" bestFit="1" customWidth="1"/>
    <col min="6427" max="6427" width="5.140625" style="2" bestFit="1" customWidth="1"/>
    <col min="6428" max="6428" width="8.85546875" style="2" customWidth="1"/>
    <col min="6429" max="6656" width="9.140625" style="2"/>
    <col min="6657" max="6657" width="1.28515625" style="2" customWidth="1"/>
    <col min="6658" max="6658" width="43.42578125" style="2" customWidth="1"/>
    <col min="6659" max="6659" width="17.85546875" style="2" customWidth="1"/>
    <col min="6660" max="6660" width="18.5703125" style="2" customWidth="1"/>
    <col min="6661" max="6661" width="17.140625" style="2" customWidth="1"/>
    <col min="6662" max="6662" width="1" style="2" customWidth="1"/>
    <col min="6663" max="6663" width="7" style="2" bestFit="1" customWidth="1"/>
    <col min="6664" max="6665" width="0" style="2" hidden="1" customWidth="1"/>
    <col min="6666" max="6670" width="5.28515625" style="2" customWidth="1"/>
    <col min="6671" max="6673" width="0" style="2" hidden="1" customWidth="1"/>
    <col min="6674" max="6674" width="15" style="2" bestFit="1" customWidth="1"/>
    <col min="6675" max="6675" width="11.7109375" style="2" bestFit="1" customWidth="1"/>
    <col min="6676" max="6678" width="4" style="2" bestFit="1" customWidth="1"/>
    <col min="6679" max="6679" width="3.5703125" style="2" bestFit="1" customWidth="1"/>
    <col min="6680" max="6681" width="0" style="2" hidden="1" customWidth="1"/>
    <col min="6682" max="6682" width="12.85546875" style="2" bestFit="1" customWidth="1"/>
    <col min="6683" max="6683" width="5.140625" style="2" bestFit="1" customWidth="1"/>
    <col min="6684" max="6684" width="8.85546875" style="2" customWidth="1"/>
    <col min="6685" max="6912" width="9.140625" style="2"/>
    <col min="6913" max="6913" width="1.28515625" style="2" customWidth="1"/>
    <col min="6914" max="6914" width="43.42578125" style="2" customWidth="1"/>
    <col min="6915" max="6915" width="17.85546875" style="2" customWidth="1"/>
    <col min="6916" max="6916" width="18.5703125" style="2" customWidth="1"/>
    <col min="6917" max="6917" width="17.140625" style="2" customWidth="1"/>
    <col min="6918" max="6918" width="1" style="2" customWidth="1"/>
    <col min="6919" max="6919" width="7" style="2" bestFit="1" customWidth="1"/>
    <col min="6920" max="6921" width="0" style="2" hidden="1" customWidth="1"/>
    <col min="6922" max="6926" width="5.28515625" style="2" customWidth="1"/>
    <col min="6927" max="6929" width="0" style="2" hidden="1" customWidth="1"/>
    <col min="6930" max="6930" width="15" style="2" bestFit="1" customWidth="1"/>
    <col min="6931" max="6931" width="11.7109375" style="2" bestFit="1" customWidth="1"/>
    <col min="6932" max="6934" width="4" style="2" bestFit="1" customWidth="1"/>
    <col min="6935" max="6935" width="3.5703125" style="2" bestFit="1" customWidth="1"/>
    <col min="6936" max="6937" width="0" style="2" hidden="1" customWidth="1"/>
    <col min="6938" max="6938" width="12.85546875" style="2" bestFit="1" customWidth="1"/>
    <col min="6939" max="6939" width="5.140625" style="2" bestFit="1" customWidth="1"/>
    <col min="6940" max="6940" width="8.85546875" style="2" customWidth="1"/>
    <col min="6941" max="7168" width="9.140625" style="2"/>
    <col min="7169" max="7169" width="1.28515625" style="2" customWidth="1"/>
    <col min="7170" max="7170" width="43.42578125" style="2" customWidth="1"/>
    <col min="7171" max="7171" width="17.85546875" style="2" customWidth="1"/>
    <col min="7172" max="7172" width="18.5703125" style="2" customWidth="1"/>
    <col min="7173" max="7173" width="17.140625" style="2" customWidth="1"/>
    <col min="7174" max="7174" width="1" style="2" customWidth="1"/>
    <col min="7175" max="7175" width="7" style="2" bestFit="1" customWidth="1"/>
    <col min="7176" max="7177" width="0" style="2" hidden="1" customWidth="1"/>
    <col min="7178" max="7182" width="5.28515625" style="2" customWidth="1"/>
    <col min="7183" max="7185" width="0" style="2" hidden="1" customWidth="1"/>
    <col min="7186" max="7186" width="15" style="2" bestFit="1" customWidth="1"/>
    <col min="7187" max="7187" width="11.7109375" style="2" bestFit="1" customWidth="1"/>
    <col min="7188" max="7190" width="4" style="2" bestFit="1" customWidth="1"/>
    <col min="7191" max="7191" width="3.5703125" style="2" bestFit="1" customWidth="1"/>
    <col min="7192" max="7193" width="0" style="2" hidden="1" customWidth="1"/>
    <col min="7194" max="7194" width="12.85546875" style="2" bestFit="1" customWidth="1"/>
    <col min="7195" max="7195" width="5.140625" style="2" bestFit="1" customWidth="1"/>
    <col min="7196" max="7196" width="8.85546875" style="2" customWidth="1"/>
    <col min="7197" max="7424" width="9.140625" style="2"/>
    <col min="7425" max="7425" width="1.28515625" style="2" customWidth="1"/>
    <col min="7426" max="7426" width="43.42578125" style="2" customWidth="1"/>
    <col min="7427" max="7427" width="17.85546875" style="2" customWidth="1"/>
    <col min="7428" max="7428" width="18.5703125" style="2" customWidth="1"/>
    <col min="7429" max="7429" width="17.140625" style="2" customWidth="1"/>
    <col min="7430" max="7430" width="1" style="2" customWidth="1"/>
    <col min="7431" max="7431" width="7" style="2" bestFit="1" customWidth="1"/>
    <col min="7432" max="7433" width="0" style="2" hidden="1" customWidth="1"/>
    <col min="7434" max="7438" width="5.28515625" style="2" customWidth="1"/>
    <col min="7439" max="7441" width="0" style="2" hidden="1" customWidth="1"/>
    <col min="7442" max="7442" width="15" style="2" bestFit="1" customWidth="1"/>
    <col min="7443" max="7443" width="11.7109375" style="2" bestFit="1" customWidth="1"/>
    <col min="7444" max="7446" width="4" style="2" bestFit="1" customWidth="1"/>
    <col min="7447" max="7447" width="3.5703125" style="2" bestFit="1" customWidth="1"/>
    <col min="7448" max="7449" width="0" style="2" hidden="1" customWidth="1"/>
    <col min="7450" max="7450" width="12.85546875" style="2" bestFit="1" customWidth="1"/>
    <col min="7451" max="7451" width="5.140625" style="2" bestFit="1" customWidth="1"/>
    <col min="7452" max="7452" width="8.85546875" style="2" customWidth="1"/>
    <col min="7453" max="7680" width="9.140625" style="2"/>
    <col min="7681" max="7681" width="1.28515625" style="2" customWidth="1"/>
    <col min="7682" max="7682" width="43.42578125" style="2" customWidth="1"/>
    <col min="7683" max="7683" width="17.85546875" style="2" customWidth="1"/>
    <col min="7684" max="7684" width="18.5703125" style="2" customWidth="1"/>
    <col min="7685" max="7685" width="17.140625" style="2" customWidth="1"/>
    <col min="7686" max="7686" width="1" style="2" customWidth="1"/>
    <col min="7687" max="7687" width="7" style="2" bestFit="1" customWidth="1"/>
    <col min="7688" max="7689" width="0" style="2" hidden="1" customWidth="1"/>
    <col min="7690" max="7694" width="5.28515625" style="2" customWidth="1"/>
    <col min="7695" max="7697" width="0" style="2" hidden="1" customWidth="1"/>
    <col min="7698" max="7698" width="15" style="2" bestFit="1" customWidth="1"/>
    <col min="7699" max="7699" width="11.7109375" style="2" bestFit="1" customWidth="1"/>
    <col min="7700" max="7702" width="4" style="2" bestFit="1" customWidth="1"/>
    <col min="7703" max="7703" width="3.5703125" style="2" bestFit="1" customWidth="1"/>
    <col min="7704" max="7705" width="0" style="2" hidden="1" customWidth="1"/>
    <col min="7706" max="7706" width="12.85546875" style="2" bestFit="1" customWidth="1"/>
    <col min="7707" max="7707" width="5.140625" style="2" bestFit="1" customWidth="1"/>
    <col min="7708" max="7708" width="8.85546875" style="2" customWidth="1"/>
    <col min="7709" max="7936" width="9.140625" style="2"/>
    <col min="7937" max="7937" width="1.28515625" style="2" customWidth="1"/>
    <col min="7938" max="7938" width="43.42578125" style="2" customWidth="1"/>
    <col min="7939" max="7939" width="17.85546875" style="2" customWidth="1"/>
    <col min="7940" max="7940" width="18.5703125" style="2" customWidth="1"/>
    <col min="7941" max="7941" width="17.140625" style="2" customWidth="1"/>
    <col min="7942" max="7942" width="1" style="2" customWidth="1"/>
    <col min="7943" max="7943" width="7" style="2" bestFit="1" customWidth="1"/>
    <col min="7944" max="7945" width="0" style="2" hidden="1" customWidth="1"/>
    <col min="7946" max="7950" width="5.28515625" style="2" customWidth="1"/>
    <col min="7951" max="7953" width="0" style="2" hidden="1" customWidth="1"/>
    <col min="7954" max="7954" width="15" style="2" bestFit="1" customWidth="1"/>
    <col min="7955" max="7955" width="11.7109375" style="2" bestFit="1" customWidth="1"/>
    <col min="7956" max="7958" width="4" style="2" bestFit="1" customWidth="1"/>
    <col min="7959" max="7959" width="3.5703125" style="2" bestFit="1" customWidth="1"/>
    <col min="7960" max="7961" width="0" style="2" hidden="1" customWidth="1"/>
    <col min="7962" max="7962" width="12.85546875" style="2" bestFit="1" customWidth="1"/>
    <col min="7963" max="7963" width="5.140625" style="2" bestFit="1" customWidth="1"/>
    <col min="7964" max="7964" width="8.85546875" style="2" customWidth="1"/>
    <col min="7965" max="8192" width="9.140625" style="2"/>
    <col min="8193" max="8193" width="1.28515625" style="2" customWidth="1"/>
    <col min="8194" max="8194" width="43.42578125" style="2" customWidth="1"/>
    <col min="8195" max="8195" width="17.85546875" style="2" customWidth="1"/>
    <col min="8196" max="8196" width="18.5703125" style="2" customWidth="1"/>
    <col min="8197" max="8197" width="17.140625" style="2" customWidth="1"/>
    <col min="8198" max="8198" width="1" style="2" customWidth="1"/>
    <col min="8199" max="8199" width="7" style="2" bestFit="1" customWidth="1"/>
    <col min="8200" max="8201" width="0" style="2" hidden="1" customWidth="1"/>
    <col min="8202" max="8206" width="5.28515625" style="2" customWidth="1"/>
    <col min="8207" max="8209" width="0" style="2" hidden="1" customWidth="1"/>
    <col min="8210" max="8210" width="15" style="2" bestFit="1" customWidth="1"/>
    <col min="8211" max="8211" width="11.7109375" style="2" bestFit="1" customWidth="1"/>
    <col min="8212" max="8214" width="4" style="2" bestFit="1" customWidth="1"/>
    <col min="8215" max="8215" width="3.5703125" style="2" bestFit="1" customWidth="1"/>
    <col min="8216" max="8217" width="0" style="2" hidden="1" customWidth="1"/>
    <col min="8218" max="8218" width="12.85546875" style="2" bestFit="1" customWidth="1"/>
    <col min="8219" max="8219" width="5.140625" style="2" bestFit="1" customWidth="1"/>
    <col min="8220" max="8220" width="8.85546875" style="2" customWidth="1"/>
    <col min="8221" max="8448" width="9.140625" style="2"/>
    <col min="8449" max="8449" width="1.28515625" style="2" customWidth="1"/>
    <col min="8450" max="8450" width="43.42578125" style="2" customWidth="1"/>
    <col min="8451" max="8451" width="17.85546875" style="2" customWidth="1"/>
    <col min="8452" max="8452" width="18.5703125" style="2" customWidth="1"/>
    <col min="8453" max="8453" width="17.140625" style="2" customWidth="1"/>
    <col min="8454" max="8454" width="1" style="2" customWidth="1"/>
    <col min="8455" max="8455" width="7" style="2" bestFit="1" customWidth="1"/>
    <col min="8456" max="8457" width="0" style="2" hidden="1" customWidth="1"/>
    <col min="8458" max="8462" width="5.28515625" style="2" customWidth="1"/>
    <col min="8463" max="8465" width="0" style="2" hidden="1" customWidth="1"/>
    <col min="8466" max="8466" width="15" style="2" bestFit="1" customWidth="1"/>
    <col min="8467" max="8467" width="11.7109375" style="2" bestFit="1" customWidth="1"/>
    <col min="8468" max="8470" width="4" style="2" bestFit="1" customWidth="1"/>
    <col min="8471" max="8471" width="3.5703125" style="2" bestFit="1" customWidth="1"/>
    <col min="8472" max="8473" width="0" style="2" hidden="1" customWidth="1"/>
    <col min="8474" max="8474" width="12.85546875" style="2" bestFit="1" customWidth="1"/>
    <col min="8475" max="8475" width="5.140625" style="2" bestFit="1" customWidth="1"/>
    <col min="8476" max="8476" width="8.85546875" style="2" customWidth="1"/>
    <col min="8477" max="8704" width="9.140625" style="2"/>
    <col min="8705" max="8705" width="1.28515625" style="2" customWidth="1"/>
    <col min="8706" max="8706" width="43.42578125" style="2" customWidth="1"/>
    <col min="8707" max="8707" width="17.85546875" style="2" customWidth="1"/>
    <col min="8708" max="8708" width="18.5703125" style="2" customWidth="1"/>
    <col min="8709" max="8709" width="17.140625" style="2" customWidth="1"/>
    <col min="8710" max="8710" width="1" style="2" customWidth="1"/>
    <col min="8711" max="8711" width="7" style="2" bestFit="1" customWidth="1"/>
    <col min="8712" max="8713" width="0" style="2" hidden="1" customWidth="1"/>
    <col min="8714" max="8718" width="5.28515625" style="2" customWidth="1"/>
    <col min="8719" max="8721" width="0" style="2" hidden="1" customWidth="1"/>
    <col min="8722" max="8722" width="15" style="2" bestFit="1" customWidth="1"/>
    <col min="8723" max="8723" width="11.7109375" style="2" bestFit="1" customWidth="1"/>
    <col min="8724" max="8726" width="4" style="2" bestFit="1" customWidth="1"/>
    <col min="8727" max="8727" width="3.5703125" style="2" bestFit="1" customWidth="1"/>
    <col min="8728" max="8729" width="0" style="2" hidden="1" customWidth="1"/>
    <col min="8730" max="8730" width="12.85546875" style="2" bestFit="1" customWidth="1"/>
    <col min="8731" max="8731" width="5.140625" style="2" bestFit="1" customWidth="1"/>
    <col min="8732" max="8732" width="8.85546875" style="2" customWidth="1"/>
    <col min="8733" max="8960" width="9.140625" style="2"/>
    <col min="8961" max="8961" width="1.28515625" style="2" customWidth="1"/>
    <col min="8962" max="8962" width="43.42578125" style="2" customWidth="1"/>
    <col min="8963" max="8963" width="17.85546875" style="2" customWidth="1"/>
    <col min="8964" max="8964" width="18.5703125" style="2" customWidth="1"/>
    <col min="8965" max="8965" width="17.140625" style="2" customWidth="1"/>
    <col min="8966" max="8966" width="1" style="2" customWidth="1"/>
    <col min="8967" max="8967" width="7" style="2" bestFit="1" customWidth="1"/>
    <col min="8968" max="8969" width="0" style="2" hidden="1" customWidth="1"/>
    <col min="8970" max="8974" width="5.28515625" style="2" customWidth="1"/>
    <col min="8975" max="8977" width="0" style="2" hidden="1" customWidth="1"/>
    <col min="8978" max="8978" width="15" style="2" bestFit="1" customWidth="1"/>
    <col min="8979" max="8979" width="11.7109375" style="2" bestFit="1" customWidth="1"/>
    <col min="8980" max="8982" width="4" style="2" bestFit="1" customWidth="1"/>
    <col min="8983" max="8983" width="3.5703125" style="2" bestFit="1" customWidth="1"/>
    <col min="8984" max="8985" width="0" style="2" hidden="1" customWidth="1"/>
    <col min="8986" max="8986" width="12.85546875" style="2" bestFit="1" customWidth="1"/>
    <col min="8987" max="8987" width="5.140625" style="2" bestFit="1" customWidth="1"/>
    <col min="8988" max="8988" width="8.85546875" style="2" customWidth="1"/>
    <col min="8989" max="9216" width="9.140625" style="2"/>
    <col min="9217" max="9217" width="1.28515625" style="2" customWidth="1"/>
    <col min="9218" max="9218" width="43.42578125" style="2" customWidth="1"/>
    <col min="9219" max="9219" width="17.85546875" style="2" customWidth="1"/>
    <col min="9220" max="9220" width="18.5703125" style="2" customWidth="1"/>
    <col min="9221" max="9221" width="17.140625" style="2" customWidth="1"/>
    <col min="9222" max="9222" width="1" style="2" customWidth="1"/>
    <col min="9223" max="9223" width="7" style="2" bestFit="1" customWidth="1"/>
    <col min="9224" max="9225" width="0" style="2" hidden="1" customWidth="1"/>
    <col min="9226" max="9230" width="5.28515625" style="2" customWidth="1"/>
    <col min="9231" max="9233" width="0" style="2" hidden="1" customWidth="1"/>
    <col min="9234" max="9234" width="15" style="2" bestFit="1" customWidth="1"/>
    <col min="9235" max="9235" width="11.7109375" style="2" bestFit="1" customWidth="1"/>
    <col min="9236" max="9238" width="4" style="2" bestFit="1" customWidth="1"/>
    <col min="9239" max="9239" width="3.5703125" style="2" bestFit="1" customWidth="1"/>
    <col min="9240" max="9241" width="0" style="2" hidden="1" customWidth="1"/>
    <col min="9242" max="9242" width="12.85546875" style="2" bestFit="1" customWidth="1"/>
    <col min="9243" max="9243" width="5.140625" style="2" bestFit="1" customWidth="1"/>
    <col min="9244" max="9244" width="8.85546875" style="2" customWidth="1"/>
    <col min="9245" max="9472" width="9.140625" style="2"/>
    <col min="9473" max="9473" width="1.28515625" style="2" customWidth="1"/>
    <col min="9474" max="9474" width="43.42578125" style="2" customWidth="1"/>
    <col min="9475" max="9475" width="17.85546875" style="2" customWidth="1"/>
    <col min="9476" max="9476" width="18.5703125" style="2" customWidth="1"/>
    <col min="9477" max="9477" width="17.140625" style="2" customWidth="1"/>
    <col min="9478" max="9478" width="1" style="2" customWidth="1"/>
    <col min="9479" max="9479" width="7" style="2" bestFit="1" customWidth="1"/>
    <col min="9480" max="9481" width="0" style="2" hidden="1" customWidth="1"/>
    <col min="9482" max="9486" width="5.28515625" style="2" customWidth="1"/>
    <col min="9487" max="9489" width="0" style="2" hidden="1" customWidth="1"/>
    <col min="9490" max="9490" width="15" style="2" bestFit="1" customWidth="1"/>
    <col min="9491" max="9491" width="11.7109375" style="2" bestFit="1" customWidth="1"/>
    <col min="9492" max="9494" width="4" style="2" bestFit="1" customWidth="1"/>
    <col min="9495" max="9495" width="3.5703125" style="2" bestFit="1" customWidth="1"/>
    <col min="9496" max="9497" width="0" style="2" hidden="1" customWidth="1"/>
    <col min="9498" max="9498" width="12.85546875" style="2" bestFit="1" customWidth="1"/>
    <col min="9499" max="9499" width="5.140625" style="2" bestFit="1" customWidth="1"/>
    <col min="9500" max="9500" width="8.85546875" style="2" customWidth="1"/>
    <col min="9501" max="9728" width="9.140625" style="2"/>
    <col min="9729" max="9729" width="1.28515625" style="2" customWidth="1"/>
    <col min="9730" max="9730" width="43.42578125" style="2" customWidth="1"/>
    <col min="9731" max="9731" width="17.85546875" style="2" customWidth="1"/>
    <col min="9732" max="9732" width="18.5703125" style="2" customWidth="1"/>
    <col min="9733" max="9733" width="17.140625" style="2" customWidth="1"/>
    <col min="9734" max="9734" width="1" style="2" customWidth="1"/>
    <col min="9735" max="9735" width="7" style="2" bestFit="1" customWidth="1"/>
    <col min="9736" max="9737" width="0" style="2" hidden="1" customWidth="1"/>
    <col min="9738" max="9742" width="5.28515625" style="2" customWidth="1"/>
    <col min="9743" max="9745" width="0" style="2" hidden="1" customWidth="1"/>
    <col min="9746" max="9746" width="15" style="2" bestFit="1" customWidth="1"/>
    <col min="9747" max="9747" width="11.7109375" style="2" bestFit="1" customWidth="1"/>
    <col min="9748" max="9750" width="4" style="2" bestFit="1" customWidth="1"/>
    <col min="9751" max="9751" width="3.5703125" style="2" bestFit="1" customWidth="1"/>
    <col min="9752" max="9753" width="0" style="2" hidden="1" customWidth="1"/>
    <col min="9754" max="9754" width="12.85546875" style="2" bestFit="1" customWidth="1"/>
    <col min="9755" max="9755" width="5.140625" style="2" bestFit="1" customWidth="1"/>
    <col min="9756" max="9756" width="8.85546875" style="2" customWidth="1"/>
    <col min="9757" max="9984" width="9.140625" style="2"/>
    <col min="9985" max="9985" width="1.28515625" style="2" customWidth="1"/>
    <col min="9986" max="9986" width="43.42578125" style="2" customWidth="1"/>
    <col min="9987" max="9987" width="17.85546875" style="2" customWidth="1"/>
    <col min="9988" max="9988" width="18.5703125" style="2" customWidth="1"/>
    <col min="9989" max="9989" width="17.140625" style="2" customWidth="1"/>
    <col min="9990" max="9990" width="1" style="2" customWidth="1"/>
    <col min="9991" max="9991" width="7" style="2" bestFit="1" customWidth="1"/>
    <col min="9992" max="9993" width="0" style="2" hidden="1" customWidth="1"/>
    <col min="9994" max="9998" width="5.28515625" style="2" customWidth="1"/>
    <col min="9999" max="10001" width="0" style="2" hidden="1" customWidth="1"/>
    <col min="10002" max="10002" width="15" style="2" bestFit="1" customWidth="1"/>
    <col min="10003" max="10003" width="11.7109375" style="2" bestFit="1" customWidth="1"/>
    <col min="10004" max="10006" width="4" style="2" bestFit="1" customWidth="1"/>
    <col min="10007" max="10007" width="3.5703125" style="2" bestFit="1" customWidth="1"/>
    <col min="10008" max="10009" width="0" style="2" hidden="1" customWidth="1"/>
    <col min="10010" max="10010" width="12.85546875" style="2" bestFit="1" customWidth="1"/>
    <col min="10011" max="10011" width="5.140625" style="2" bestFit="1" customWidth="1"/>
    <col min="10012" max="10012" width="8.85546875" style="2" customWidth="1"/>
    <col min="10013" max="10240" width="9.140625" style="2"/>
    <col min="10241" max="10241" width="1.28515625" style="2" customWidth="1"/>
    <col min="10242" max="10242" width="43.42578125" style="2" customWidth="1"/>
    <col min="10243" max="10243" width="17.85546875" style="2" customWidth="1"/>
    <col min="10244" max="10244" width="18.5703125" style="2" customWidth="1"/>
    <col min="10245" max="10245" width="17.140625" style="2" customWidth="1"/>
    <col min="10246" max="10246" width="1" style="2" customWidth="1"/>
    <col min="10247" max="10247" width="7" style="2" bestFit="1" customWidth="1"/>
    <col min="10248" max="10249" width="0" style="2" hidden="1" customWidth="1"/>
    <col min="10250" max="10254" width="5.28515625" style="2" customWidth="1"/>
    <col min="10255" max="10257" width="0" style="2" hidden="1" customWidth="1"/>
    <col min="10258" max="10258" width="15" style="2" bestFit="1" customWidth="1"/>
    <col min="10259" max="10259" width="11.7109375" style="2" bestFit="1" customWidth="1"/>
    <col min="10260" max="10262" width="4" style="2" bestFit="1" customWidth="1"/>
    <col min="10263" max="10263" width="3.5703125" style="2" bestFit="1" customWidth="1"/>
    <col min="10264" max="10265" width="0" style="2" hidden="1" customWidth="1"/>
    <col min="10266" max="10266" width="12.85546875" style="2" bestFit="1" customWidth="1"/>
    <col min="10267" max="10267" width="5.140625" style="2" bestFit="1" customWidth="1"/>
    <col min="10268" max="10268" width="8.85546875" style="2" customWidth="1"/>
    <col min="10269" max="10496" width="9.140625" style="2"/>
    <col min="10497" max="10497" width="1.28515625" style="2" customWidth="1"/>
    <col min="10498" max="10498" width="43.42578125" style="2" customWidth="1"/>
    <col min="10499" max="10499" width="17.85546875" style="2" customWidth="1"/>
    <col min="10500" max="10500" width="18.5703125" style="2" customWidth="1"/>
    <col min="10501" max="10501" width="17.140625" style="2" customWidth="1"/>
    <col min="10502" max="10502" width="1" style="2" customWidth="1"/>
    <col min="10503" max="10503" width="7" style="2" bestFit="1" customWidth="1"/>
    <col min="10504" max="10505" width="0" style="2" hidden="1" customWidth="1"/>
    <col min="10506" max="10510" width="5.28515625" style="2" customWidth="1"/>
    <col min="10511" max="10513" width="0" style="2" hidden="1" customWidth="1"/>
    <col min="10514" max="10514" width="15" style="2" bestFit="1" customWidth="1"/>
    <col min="10515" max="10515" width="11.7109375" style="2" bestFit="1" customWidth="1"/>
    <col min="10516" max="10518" width="4" style="2" bestFit="1" customWidth="1"/>
    <col min="10519" max="10519" width="3.5703125" style="2" bestFit="1" customWidth="1"/>
    <col min="10520" max="10521" width="0" style="2" hidden="1" customWidth="1"/>
    <col min="10522" max="10522" width="12.85546875" style="2" bestFit="1" customWidth="1"/>
    <col min="10523" max="10523" width="5.140625" style="2" bestFit="1" customWidth="1"/>
    <col min="10524" max="10524" width="8.85546875" style="2" customWidth="1"/>
    <col min="10525" max="10752" width="9.140625" style="2"/>
    <col min="10753" max="10753" width="1.28515625" style="2" customWidth="1"/>
    <col min="10754" max="10754" width="43.42578125" style="2" customWidth="1"/>
    <col min="10755" max="10755" width="17.85546875" style="2" customWidth="1"/>
    <col min="10756" max="10756" width="18.5703125" style="2" customWidth="1"/>
    <col min="10757" max="10757" width="17.140625" style="2" customWidth="1"/>
    <col min="10758" max="10758" width="1" style="2" customWidth="1"/>
    <col min="10759" max="10759" width="7" style="2" bestFit="1" customWidth="1"/>
    <col min="10760" max="10761" width="0" style="2" hidden="1" customWidth="1"/>
    <col min="10762" max="10766" width="5.28515625" style="2" customWidth="1"/>
    <col min="10767" max="10769" width="0" style="2" hidden="1" customWidth="1"/>
    <col min="10770" max="10770" width="15" style="2" bestFit="1" customWidth="1"/>
    <col min="10771" max="10771" width="11.7109375" style="2" bestFit="1" customWidth="1"/>
    <col min="10772" max="10774" width="4" style="2" bestFit="1" customWidth="1"/>
    <col min="10775" max="10775" width="3.5703125" style="2" bestFit="1" customWidth="1"/>
    <col min="10776" max="10777" width="0" style="2" hidden="1" customWidth="1"/>
    <col min="10778" max="10778" width="12.85546875" style="2" bestFit="1" customWidth="1"/>
    <col min="10779" max="10779" width="5.140625" style="2" bestFit="1" customWidth="1"/>
    <col min="10780" max="10780" width="8.85546875" style="2" customWidth="1"/>
    <col min="10781" max="11008" width="9.140625" style="2"/>
    <col min="11009" max="11009" width="1.28515625" style="2" customWidth="1"/>
    <col min="11010" max="11010" width="43.42578125" style="2" customWidth="1"/>
    <col min="11011" max="11011" width="17.85546875" style="2" customWidth="1"/>
    <col min="11012" max="11012" width="18.5703125" style="2" customWidth="1"/>
    <col min="11013" max="11013" width="17.140625" style="2" customWidth="1"/>
    <col min="11014" max="11014" width="1" style="2" customWidth="1"/>
    <col min="11015" max="11015" width="7" style="2" bestFit="1" customWidth="1"/>
    <col min="11016" max="11017" width="0" style="2" hidden="1" customWidth="1"/>
    <col min="11018" max="11022" width="5.28515625" style="2" customWidth="1"/>
    <col min="11023" max="11025" width="0" style="2" hidden="1" customWidth="1"/>
    <col min="11026" max="11026" width="15" style="2" bestFit="1" customWidth="1"/>
    <col min="11027" max="11027" width="11.7109375" style="2" bestFit="1" customWidth="1"/>
    <col min="11028" max="11030" width="4" style="2" bestFit="1" customWidth="1"/>
    <col min="11031" max="11031" width="3.5703125" style="2" bestFit="1" customWidth="1"/>
    <col min="11032" max="11033" width="0" style="2" hidden="1" customWidth="1"/>
    <col min="11034" max="11034" width="12.85546875" style="2" bestFit="1" customWidth="1"/>
    <col min="11035" max="11035" width="5.140625" style="2" bestFit="1" customWidth="1"/>
    <col min="11036" max="11036" width="8.85546875" style="2" customWidth="1"/>
    <col min="11037" max="11264" width="9.140625" style="2"/>
    <col min="11265" max="11265" width="1.28515625" style="2" customWidth="1"/>
    <col min="11266" max="11266" width="43.42578125" style="2" customWidth="1"/>
    <col min="11267" max="11267" width="17.85546875" style="2" customWidth="1"/>
    <col min="11268" max="11268" width="18.5703125" style="2" customWidth="1"/>
    <col min="11269" max="11269" width="17.140625" style="2" customWidth="1"/>
    <col min="11270" max="11270" width="1" style="2" customWidth="1"/>
    <col min="11271" max="11271" width="7" style="2" bestFit="1" customWidth="1"/>
    <col min="11272" max="11273" width="0" style="2" hidden="1" customWidth="1"/>
    <col min="11274" max="11278" width="5.28515625" style="2" customWidth="1"/>
    <col min="11279" max="11281" width="0" style="2" hidden="1" customWidth="1"/>
    <col min="11282" max="11282" width="15" style="2" bestFit="1" customWidth="1"/>
    <col min="11283" max="11283" width="11.7109375" style="2" bestFit="1" customWidth="1"/>
    <col min="11284" max="11286" width="4" style="2" bestFit="1" customWidth="1"/>
    <col min="11287" max="11287" width="3.5703125" style="2" bestFit="1" customWidth="1"/>
    <col min="11288" max="11289" width="0" style="2" hidden="1" customWidth="1"/>
    <col min="11290" max="11290" width="12.85546875" style="2" bestFit="1" customWidth="1"/>
    <col min="11291" max="11291" width="5.140625" style="2" bestFit="1" customWidth="1"/>
    <col min="11292" max="11292" width="8.85546875" style="2" customWidth="1"/>
    <col min="11293" max="11520" width="9.140625" style="2"/>
    <col min="11521" max="11521" width="1.28515625" style="2" customWidth="1"/>
    <col min="11522" max="11522" width="43.42578125" style="2" customWidth="1"/>
    <col min="11523" max="11523" width="17.85546875" style="2" customWidth="1"/>
    <col min="11524" max="11524" width="18.5703125" style="2" customWidth="1"/>
    <col min="11525" max="11525" width="17.140625" style="2" customWidth="1"/>
    <col min="11526" max="11526" width="1" style="2" customWidth="1"/>
    <col min="11527" max="11527" width="7" style="2" bestFit="1" customWidth="1"/>
    <col min="11528" max="11529" width="0" style="2" hidden="1" customWidth="1"/>
    <col min="11530" max="11534" width="5.28515625" style="2" customWidth="1"/>
    <col min="11535" max="11537" width="0" style="2" hidden="1" customWidth="1"/>
    <col min="11538" max="11538" width="15" style="2" bestFit="1" customWidth="1"/>
    <col min="11539" max="11539" width="11.7109375" style="2" bestFit="1" customWidth="1"/>
    <col min="11540" max="11542" width="4" style="2" bestFit="1" customWidth="1"/>
    <col min="11543" max="11543" width="3.5703125" style="2" bestFit="1" customWidth="1"/>
    <col min="11544" max="11545" width="0" style="2" hidden="1" customWidth="1"/>
    <col min="11546" max="11546" width="12.85546875" style="2" bestFit="1" customWidth="1"/>
    <col min="11547" max="11547" width="5.140625" style="2" bestFit="1" customWidth="1"/>
    <col min="11548" max="11548" width="8.85546875" style="2" customWidth="1"/>
    <col min="11549" max="11776" width="9.140625" style="2"/>
    <col min="11777" max="11777" width="1.28515625" style="2" customWidth="1"/>
    <col min="11778" max="11778" width="43.42578125" style="2" customWidth="1"/>
    <col min="11779" max="11779" width="17.85546875" style="2" customWidth="1"/>
    <col min="11780" max="11780" width="18.5703125" style="2" customWidth="1"/>
    <col min="11781" max="11781" width="17.140625" style="2" customWidth="1"/>
    <col min="11782" max="11782" width="1" style="2" customWidth="1"/>
    <col min="11783" max="11783" width="7" style="2" bestFit="1" customWidth="1"/>
    <col min="11784" max="11785" width="0" style="2" hidden="1" customWidth="1"/>
    <col min="11786" max="11790" width="5.28515625" style="2" customWidth="1"/>
    <col min="11791" max="11793" width="0" style="2" hidden="1" customWidth="1"/>
    <col min="11794" max="11794" width="15" style="2" bestFit="1" customWidth="1"/>
    <col min="11795" max="11795" width="11.7109375" style="2" bestFit="1" customWidth="1"/>
    <col min="11796" max="11798" width="4" style="2" bestFit="1" customWidth="1"/>
    <col min="11799" max="11799" width="3.5703125" style="2" bestFit="1" customWidth="1"/>
    <col min="11800" max="11801" width="0" style="2" hidden="1" customWidth="1"/>
    <col min="11802" max="11802" width="12.85546875" style="2" bestFit="1" customWidth="1"/>
    <col min="11803" max="11803" width="5.140625" style="2" bestFit="1" customWidth="1"/>
    <col min="11804" max="11804" width="8.85546875" style="2" customWidth="1"/>
    <col min="11805" max="12032" width="9.140625" style="2"/>
    <col min="12033" max="12033" width="1.28515625" style="2" customWidth="1"/>
    <col min="12034" max="12034" width="43.42578125" style="2" customWidth="1"/>
    <col min="12035" max="12035" width="17.85546875" style="2" customWidth="1"/>
    <col min="12036" max="12036" width="18.5703125" style="2" customWidth="1"/>
    <col min="12037" max="12037" width="17.140625" style="2" customWidth="1"/>
    <col min="12038" max="12038" width="1" style="2" customWidth="1"/>
    <col min="12039" max="12039" width="7" style="2" bestFit="1" customWidth="1"/>
    <col min="12040" max="12041" width="0" style="2" hidden="1" customWidth="1"/>
    <col min="12042" max="12046" width="5.28515625" style="2" customWidth="1"/>
    <col min="12047" max="12049" width="0" style="2" hidden="1" customWidth="1"/>
    <col min="12050" max="12050" width="15" style="2" bestFit="1" customWidth="1"/>
    <col min="12051" max="12051" width="11.7109375" style="2" bestFit="1" customWidth="1"/>
    <col min="12052" max="12054" width="4" style="2" bestFit="1" customWidth="1"/>
    <col min="12055" max="12055" width="3.5703125" style="2" bestFit="1" customWidth="1"/>
    <col min="12056" max="12057" width="0" style="2" hidden="1" customWidth="1"/>
    <col min="12058" max="12058" width="12.85546875" style="2" bestFit="1" customWidth="1"/>
    <col min="12059" max="12059" width="5.140625" style="2" bestFit="1" customWidth="1"/>
    <col min="12060" max="12060" width="8.85546875" style="2" customWidth="1"/>
    <col min="12061" max="12288" width="9.140625" style="2"/>
    <col min="12289" max="12289" width="1.28515625" style="2" customWidth="1"/>
    <col min="12290" max="12290" width="43.42578125" style="2" customWidth="1"/>
    <col min="12291" max="12291" width="17.85546875" style="2" customWidth="1"/>
    <col min="12292" max="12292" width="18.5703125" style="2" customWidth="1"/>
    <col min="12293" max="12293" width="17.140625" style="2" customWidth="1"/>
    <col min="12294" max="12294" width="1" style="2" customWidth="1"/>
    <col min="12295" max="12295" width="7" style="2" bestFit="1" customWidth="1"/>
    <col min="12296" max="12297" width="0" style="2" hidden="1" customWidth="1"/>
    <col min="12298" max="12302" width="5.28515625" style="2" customWidth="1"/>
    <col min="12303" max="12305" width="0" style="2" hidden="1" customWidth="1"/>
    <col min="12306" max="12306" width="15" style="2" bestFit="1" customWidth="1"/>
    <col min="12307" max="12307" width="11.7109375" style="2" bestFit="1" customWidth="1"/>
    <col min="12308" max="12310" width="4" style="2" bestFit="1" customWidth="1"/>
    <col min="12311" max="12311" width="3.5703125" style="2" bestFit="1" customWidth="1"/>
    <col min="12312" max="12313" width="0" style="2" hidden="1" customWidth="1"/>
    <col min="12314" max="12314" width="12.85546875" style="2" bestFit="1" customWidth="1"/>
    <col min="12315" max="12315" width="5.140625" style="2" bestFit="1" customWidth="1"/>
    <col min="12316" max="12316" width="8.85546875" style="2" customWidth="1"/>
    <col min="12317" max="12544" width="9.140625" style="2"/>
    <col min="12545" max="12545" width="1.28515625" style="2" customWidth="1"/>
    <col min="12546" max="12546" width="43.42578125" style="2" customWidth="1"/>
    <col min="12547" max="12547" width="17.85546875" style="2" customWidth="1"/>
    <col min="12548" max="12548" width="18.5703125" style="2" customWidth="1"/>
    <col min="12549" max="12549" width="17.140625" style="2" customWidth="1"/>
    <col min="12550" max="12550" width="1" style="2" customWidth="1"/>
    <col min="12551" max="12551" width="7" style="2" bestFit="1" customWidth="1"/>
    <col min="12552" max="12553" width="0" style="2" hidden="1" customWidth="1"/>
    <col min="12554" max="12558" width="5.28515625" style="2" customWidth="1"/>
    <col min="12559" max="12561" width="0" style="2" hidden="1" customWidth="1"/>
    <col min="12562" max="12562" width="15" style="2" bestFit="1" customWidth="1"/>
    <col min="12563" max="12563" width="11.7109375" style="2" bestFit="1" customWidth="1"/>
    <col min="12564" max="12566" width="4" style="2" bestFit="1" customWidth="1"/>
    <col min="12567" max="12567" width="3.5703125" style="2" bestFit="1" customWidth="1"/>
    <col min="12568" max="12569" width="0" style="2" hidden="1" customWidth="1"/>
    <col min="12570" max="12570" width="12.85546875" style="2" bestFit="1" customWidth="1"/>
    <col min="12571" max="12571" width="5.140625" style="2" bestFit="1" customWidth="1"/>
    <col min="12572" max="12572" width="8.85546875" style="2" customWidth="1"/>
    <col min="12573" max="12800" width="9.140625" style="2"/>
    <col min="12801" max="12801" width="1.28515625" style="2" customWidth="1"/>
    <col min="12802" max="12802" width="43.42578125" style="2" customWidth="1"/>
    <col min="12803" max="12803" width="17.85546875" style="2" customWidth="1"/>
    <col min="12804" max="12804" width="18.5703125" style="2" customWidth="1"/>
    <col min="12805" max="12805" width="17.140625" style="2" customWidth="1"/>
    <col min="12806" max="12806" width="1" style="2" customWidth="1"/>
    <col min="12807" max="12807" width="7" style="2" bestFit="1" customWidth="1"/>
    <col min="12808" max="12809" width="0" style="2" hidden="1" customWidth="1"/>
    <col min="12810" max="12814" width="5.28515625" style="2" customWidth="1"/>
    <col min="12815" max="12817" width="0" style="2" hidden="1" customWidth="1"/>
    <col min="12818" max="12818" width="15" style="2" bestFit="1" customWidth="1"/>
    <col min="12819" max="12819" width="11.7109375" style="2" bestFit="1" customWidth="1"/>
    <col min="12820" max="12822" width="4" style="2" bestFit="1" customWidth="1"/>
    <col min="12823" max="12823" width="3.5703125" style="2" bestFit="1" customWidth="1"/>
    <col min="12824" max="12825" width="0" style="2" hidden="1" customWidth="1"/>
    <col min="12826" max="12826" width="12.85546875" style="2" bestFit="1" customWidth="1"/>
    <col min="12827" max="12827" width="5.140625" style="2" bestFit="1" customWidth="1"/>
    <col min="12828" max="12828" width="8.85546875" style="2" customWidth="1"/>
    <col min="12829" max="13056" width="9.140625" style="2"/>
    <col min="13057" max="13057" width="1.28515625" style="2" customWidth="1"/>
    <col min="13058" max="13058" width="43.42578125" style="2" customWidth="1"/>
    <col min="13059" max="13059" width="17.85546875" style="2" customWidth="1"/>
    <col min="13060" max="13060" width="18.5703125" style="2" customWidth="1"/>
    <col min="13061" max="13061" width="17.140625" style="2" customWidth="1"/>
    <col min="13062" max="13062" width="1" style="2" customWidth="1"/>
    <col min="13063" max="13063" width="7" style="2" bestFit="1" customWidth="1"/>
    <col min="13064" max="13065" width="0" style="2" hidden="1" customWidth="1"/>
    <col min="13066" max="13070" width="5.28515625" style="2" customWidth="1"/>
    <col min="13071" max="13073" width="0" style="2" hidden="1" customWidth="1"/>
    <col min="13074" max="13074" width="15" style="2" bestFit="1" customWidth="1"/>
    <col min="13075" max="13075" width="11.7109375" style="2" bestFit="1" customWidth="1"/>
    <col min="13076" max="13078" width="4" style="2" bestFit="1" customWidth="1"/>
    <col min="13079" max="13079" width="3.5703125" style="2" bestFit="1" customWidth="1"/>
    <col min="13080" max="13081" width="0" style="2" hidden="1" customWidth="1"/>
    <col min="13082" max="13082" width="12.85546875" style="2" bestFit="1" customWidth="1"/>
    <col min="13083" max="13083" width="5.140625" style="2" bestFit="1" customWidth="1"/>
    <col min="13084" max="13084" width="8.85546875" style="2" customWidth="1"/>
    <col min="13085" max="13312" width="9.140625" style="2"/>
    <col min="13313" max="13313" width="1.28515625" style="2" customWidth="1"/>
    <col min="13314" max="13314" width="43.42578125" style="2" customWidth="1"/>
    <col min="13315" max="13315" width="17.85546875" style="2" customWidth="1"/>
    <col min="13316" max="13316" width="18.5703125" style="2" customWidth="1"/>
    <col min="13317" max="13317" width="17.140625" style="2" customWidth="1"/>
    <col min="13318" max="13318" width="1" style="2" customWidth="1"/>
    <col min="13319" max="13319" width="7" style="2" bestFit="1" customWidth="1"/>
    <col min="13320" max="13321" width="0" style="2" hidden="1" customWidth="1"/>
    <col min="13322" max="13326" width="5.28515625" style="2" customWidth="1"/>
    <col min="13327" max="13329" width="0" style="2" hidden="1" customWidth="1"/>
    <col min="13330" max="13330" width="15" style="2" bestFit="1" customWidth="1"/>
    <col min="13331" max="13331" width="11.7109375" style="2" bestFit="1" customWidth="1"/>
    <col min="13332" max="13334" width="4" style="2" bestFit="1" customWidth="1"/>
    <col min="13335" max="13335" width="3.5703125" style="2" bestFit="1" customWidth="1"/>
    <col min="13336" max="13337" width="0" style="2" hidden="1" customWidth="1"/>
    <col min="13338" max="13338" width="12.85546875" style="2" bestFit="1" customWidth="1"/>
    <col min="13339" max="13339" width="5.140625" style="2" bestFit="1" customWidth="1"/>
    <col min="13340" max="13340" width="8.85546875" style="2" customWidth="1"/>
    <col min="13341" max="13568" width="9.140625" style="2"/>
    <col min="13569" max="13569" width="1.28515625" style="2" customWidth="1"/>
    <col min="13570" max="13570" width="43.42578125" style="2" customWidth="1"/>
    <col min="13571" max="13571" width="17.85546875" style="2" customWidth="1"/>
    <col min="13572" max="13572" width="18.5703125" style="2" customWidth="1"/>
    <col min="13573" max="13573" width="17.140625" style="2" customWidth="1"/>
    <col min="13574" max="13574" width="1" style="2" customWidth="1"/>
    <col min="13575" max="13575" width="7" style="2" bestFit="1" customWidth="1"/>
    <col min="13576" max="13577" width="0" style="2" hidden="1" customWidth="1"/>
    <col min="13578" max="13582" width="5.28515625" style="2" customWidth="1"/>
    <col min="13583" max="13585" width="0" style="2" hidden="1" customWidth="1"/>
    <col min="13586" max="13586" width="15" style="2" bestFit="1" customWidth="1"/>
    <col min="13587" max="13587" width="11.7109375" style="2" bestFit="1" customWidth="1"/>
    <col min="13588" max="13590" width="4" style="2" bestFit="1" customWidth="1"/>
    <col min="13591" max="13591" width="3.5703125" style="2" bestFit="1" customWidth="1"/>
    <col min="13592" max="13593" width="0" style="2" hidden="1" customWidth="1"/>
    <col min="13594" max="13594" width="12.85546875" style="2" bestFit="1" customWidth="1"/>
    <col min="13595" max="13595" width="5.140625" style="2" bestFit="1" customWidth="1"/>
    <col min="13596" max="13596" width="8.85546875" style="2" customWidth="1"/>
    <col min="13597" max="13824" width="9.140625" style="2"/>
    <col min="13825" max="13825" width="1.28515625" style="2" customWidth="1"/>
    <col min="13826" max="13826" width="43.42578125" style="2" customWidth="1"/>
    <col min="13827" max="13827" width="17.85546875" style="2" customWidth="1"/>
    <col min="13828" max="13828" width="18.5703125" style="2" customWidth="1"/>
    <col min="13829" max="13829" width="17.140625" style="2" customWidth="1"/>
    <col min="13830" max="13830" width="1" style="2" customWidth="1"/>
    <col min="13831" max="13831" width="7" style="2" bestFit="1" customWidth="1"/>
    <col min="13832" max="13833" width="0" style="2" hidden="1" customWidth="1"/>
    <col min="13834" max="13838" width="5.28515625" style="2" customWidth="1"/>
    <col min="13839" max="13841" width="0" style="2" hidden="1" customWidth="1"/>
    <col min="13842" max="13842" width="15" style="2" bestFit="1" customWidth="1"/>
    <col min="13843" max="13843" width="11.7109375" style="2" bestFit="1" customWidth="1"/>
    <col min="13844" max="13846" width="4" style="2" bestFit="1" customWidth="1"/>
    <col min="13847" max="13847" width="3.5703125" style="2" bestFit="1" customWidth="1"/>
    <col min="13848" max="13849" width="0" style="2" hidden="1" customWidth="1"/>
    <col min="13850" max="13850" width="12.85546875" style="2" bestFit="1" customWidth="1"/>
    <col min="13851" max="13851" width="5.140625" style="2" bestFit="1" customWidth="1"/>
    <col min="13852" max="13852" width="8.85546875" style="2" customWidth="1"/>
    <col min="13853" max="14080" width="9.140625" style="2"/>
    <col min="14081" max="14081" width="1.28515625" style="2" customWidth="1"/>
    <col min="14082" max="14082" width="43.42578125" style="2" customWidth="1"/>
    <col min="14083" max="14083" width="17.85546875" style="2" customWidth="1"/>
    <col min="14084" max="14084" width="18.5703125" style="2" customWidth="1"/>
    <col min="14085" max="14085" width="17.140625" style="2" customWidth="1"/>
    <col min="14086" max="14086" width="1" style="2" customWidth="1"/>
    <col min="14087" max="14087" width="7" style="2" bestFit="1" customWidth="1"/>
    <col min="14088" max="14089" width="0" style="2" hidden="1" customWidth="1"/>
    <col min="14090" max="14094" width="5.28515625" style="2" customWidth="1"/>
    <col min="14095" max="14097" width="0" style="2" hidden="1" customWidth="1"/>
    <col min="14098" max="14098" width="15" style="2" bestFit="1" customWidth="1"/>
    <col min="14099" max="14099" width="11.7109375" style="2" bestFit="1" customWidth="1"/>
    <col min="14100" max="14102" width="4" style="2" bestFit="1" customWidth="1"/>
    <col min="14103" max="14103" width="3.5703125" style="2" bestFit="1" customWidth="1"/>
    <col min="14104" max="14105" width="0" style="2" hidden="1" customWidth="1"/>
    <col min="14106" max="14106" width="12.85546875" style="2" bestFit="1" customWidth="1"/>
    <col min="14107" max="14107" width="5.140625" style="2" bestFit="1" customWidth="1"/>
    <col min="14108" max="14108" width="8.85546875" style="2" customWidth="1"/>
    <col min="14109" max="14336" width="9.140625" style="2"/>
    <col min="14337" max="14337" width="1.28515625" style="2" customWidth="1"/>
    <col min="14338" max="14338" width="43.42578125" style="2" customWidth="1"/>
    <col min="14339" max="14339" width="17.85546875" style="2" customWidth="1"/>
    <col min="14340" max="14340" width="18.5703125" style="2" customWidth="1"/>
    <col min="14341" max="14341" width="17.140625" style="2" customWidth="1"/>
    <col min="14342" max="14342" width="1" style="2" customWidth="1"/>
    <col min="14343" max="14343" width="7" style="2" bestFit="1" customWidth="1"/>
    <col min="14344" max="14345" width="0" style="2" hidden="1" customWidth="1"/>
    <col min="14346" max="14350" width="5.28515625" style="2" customWidth="1"/>
    <col min="14351" max="14353" width="0" style="2" hidden="1" customWidth="1"/>
    <col min="14354" max="14354" width="15" style="2" bestFit="1" customWidth="1"/>
    <col min="14355" max="14355" width="11.7109375" style="2" bestFit="1" customWidth="1"/>
    <col min="14356" max="14358" width="4" style="2" bestFit="1" customWidth="1"/>
    <col min="14359" max="14359" width="3.5703125" style="2" bestFit="1" customWidth="1"/>
    <col min="14360" max="14361" width="0" style="2" hidden="1" customWidth="1"/>
    <col min="14362" max="14362" width="12.85546875" style="2" bestFit="1" customWidth="1"/>
    <col min="14363" max="14363" width="5.140625" style="2" bestFit="1" customWidth="1"/>
    <col min="14364" max="14364" width="8.85546875" style="2" customWidth="1"/>
    <col min="14365" max="14592" width="9.140625" style="2"/>
    <col min="14593" max="14593" width="1.28515625" style="2" customWidth="1"/>
    <col min="14594" max="14594" width="43.42578125" style="2" customWidth="1"/>
    <col min="14595" max="14595" width="17.85546875" style="2" customWidth="1"/>
    <col min="14596" max="14596" width="18.5703125" style="2" customWidth="1"/>
    <col min="14597" max="14597" width="17.140625" style="2" customWidth="1"/>
    <col min="14598" max="14598" width="1" style="2" customWidth="1"/>
    <col min="14599" max="14599" width="7" style="2" bestFit="1" customWidth="1"/>
    <col min="14600" max="14601" width="0" style="2" hidden="1" customWidth="1"/>
    <col min="14602" max="14606" width="5.28515625" style="2" customWidth="1"/>
    <col min="14607" max="14609" width="0" style="2" hidden="1" customWidth="1"/>
    <col min="14610" max="14610" width="15" style="2" bestFit="1" customWidth="1"/>
    <col min="14611" max="14611" width="11.7109375" style="2" bestFit="1" customWidth="1"/>
    <col min="14612" max="14614" width="4" style="2" bestFit="1" customWidth="1"/>
    <col min="14615" max="14615" width="3.5703125" style="2" bestFit="1" customWidth="1"/>
    <col min="14616" max="14617" width="0" style="2" hidden="1" customWidth="1"/>
    <col min="14618" max="14618" width="12.85546875" style="2" bestFit="1" customWidth="1"/>
    <col min="14619" max="14619" width="5.140625" style="2" bestFit="1" customWidth="1"/>
    <col min="14620" max="14620" width="8.85546875" style="2" customWidth="1"/>
    <col min="14621" max="14848" width="9.140625" style="2"/>
    <col min="14849" max="14849" width="1.28515625" style="2" customWidth="1"/>
    <col min="14850" max="14850" width="43.42578125" style="2" customWidth="1"/>
    <col min="14851" max="14851" width="17.85546875" style="2" customWidth="1"/>
    <col min="14852" max="14852" width="18.5703125" style="2" customWidth="1"/>
    <col min="14853" max="14853" width="17.140625" style="2" customWidth="1"/>
    <col min="14854" max="14854" width="1" style="2" customWidth="1"/>
    <col min="14855" max="14855" width="7" style="2" bestFit="1" customWidth="1"/>
    <col min="14856" max="14857" width="0" style="2" hidden="1" customWidth="1"/>
    <col min="14858" max="14862" width="5.28515625" style="2" customWidth="1"/>
    <col min="14863" max="14865" width="0" style="2" hidden="1" customWidth="1"/>
    <col min="14866" max="14866" width="15" style="2" bestFit="1" customWidth="1"/>
    <col min="14867" max="14867" width="11.7109375" style="2" bestFit="1" customWidth="1"/>
    <col min="14868" max="14870" width="4" style="2" bestFit="1" customWidth="1"/>
    <col min="14871" max="14871" width="3.5703125" style="2" bestFit="1" customWidth="1"/>
    <col min="14872" max="14873" width="0" style="2" hidden="1" customWidth="1"/>
    <col min="14874" max="14874" width="12.85546875" style="2" bestFit="1" customWidth="1"/>
    <col min="14875" max="14875" width="5.140625" style="2" bestFit="1" customWidth="1"/>
    <col min="14876" max="14876" width="8.85546875" style="2" customWidth="1"/>
    <col min="14877" max="15104" width="9.140625" style="2"/>
    <col min="15105" max="15105" width="1.28515625" style="2" customWidth="1"/>
    <col min="15106" max="15106" width="43.42578125" style="2" customWidth="1"/>
    <col min="15107" max="15107" width="17.85546875" style="2" customWidth="1"/>
    <col min="15108" max="15108" width="18.5703125" style="2" customWidth="1"/>
    <col min="15109" max="15109" width="17.140625" style="2" customWidth="1"/>
    <col min="15110" max="15110" width="1" style="2" customWidth="1"/>
    <col min="15111" max="15111" width="7" style="2" bestFit="1" customWidth="1"/>
    <col min="15112" max="15113" width="0" style="2" hidden="1" customWidth="1"/>
    <col min="15114" max="15118" width="5.28515625" style="2" customWidth="1"/>
    <col min="15119" max="15121" width="0" style="2" hidden="1" customWidth="1"/>
    <col min="15122" max="15122" width="15" style="2" bestFit="1" customWidth="1"/>
    <col min="15123" max="15123" width="11.7109375" style="2" bestFit="1" customWidth="1"/>
    <col min="15124" max="15126" width="4" style="2" bestFit="1" customWidth="1"/>
    <col min="15127" max="15127" width="3.5703125" style="2" bestFit="1" customWidth="1"/>
    <col min="15128" max="15129" width="0" style="2" hidden="1" customWidth="1"/>
    <col min="15130" max="15130" width="12.85546875" style="2" bestFit="1" customWidth="1"/>
    <col min="15131" max="15131" width="5.140625" style="2" bestFit="1" customWidth="1"/>
    <col min="15132" max="15132" width="8.85546875" style="2" customWidth="1"/>
    <col min="15133" max="15360" width="9.140625" style="2"/>
    <col min="15361" max="15361" width="1.28515625" style="2" customWidth="1"/>
    <col min="15362" max="15362" width="43.42578125" style="2" customWidth="1"/>
    <col min="15363" max="15363" width="17.85546875" style="2" customWidth="1"/>
    <col min="15364" max="15364" width="18.5703125" style="2" customWidth="1"/>
    <col min="15365" max="15365" width="17.140625" style="2" customWidth="1"/>
    <col min="15366" max="15366" width="1" style="2" customWidth="1"/>
    <col min="15367" max="15367" width="7" style="2" bestFit="1" customWidth="1"/>
    <col min="15368" max="15369" width="0" style="2" hidden="1" customWidth="1"/>
    <col min="15370" max="15374" width="5.28515625" style="2" customWidth="1"/>
    <col min="15375" max="15377" width="0" style="2" hidden="1" customWidth="1"/>
    <col min="15378" max="15378" width="15" style="2" bestFit="1" customWidth="1"/>
    <col min="15379" max="15379" width="11.7109375" style="2" bestFit="1" customWidth="1"/>
    <col min="15380" max="15382" width="4" style="2" bestFit="1" customWidth="1"/>
    <col min="15383" max="15383" width="3.5703125" style="2" bestFit="1" customWidth="1"/>
    <col min="15384" max="15385" width="0" style="2" hidden="1" customWidth="1"/>
    <col min="15386" max="15386" width="12.85546875" style="2" bestFit="1" customWidth="1"/>
    <col min="15387" max="15387" width="5.140625" style="2" bestFit="1" customWidth="1"/>
    <col min="15388" max="15388" width="8.85546875" style="2" customWidth="1"/>
    <col min="15389" max="15616" width="9.140625" style="2"/>
    <col min="15617" max="15617" width="1.28515625" style="2" customWidth="1"/>
    <col min="15618" max="15618" width="43.42578125" style="2" customWidth="1"/>
    <col min="15619" max="15619" width="17.85546875" style="2" customWidth="1"/>
    <col min="15620" max="15620" width="18.5703125" style="2" customWidth="1"/>
    <col min="15621" max="15621" width="17.140625" style="2" customWidth="1"/>
    <col min="15622" max="15622" width="1" style="2" customWidth="1"/>
    <col min="15623" max="15623" width="7" style="2" bestFit="1" customWidth="1"/>
    <col min="15624" max="15625" width="0" style="2" hidden="1" customWidth="1"/>
    <col min="15626" max="15630" width="5.28515625" style="2" customWidth="1"/>
    <col min="15631" max="15633" width="0" style="2" hidden="1" customWidth="1"/>
    <col min="15634" max="15634" width="15" style="2" bestFit="1" customWidth="1"/>
    <col min="15635" max="15635" width="11.7109375" style="2" bestFit="1" customWidth="1"/>
    <col min="15636" max="15638" width="4" style="2" bestFit="1" customWidth="1"/>
    <col min="15639" max="15639" width="3.5703125" style="2" bestFit="1" customWidth="1"/>
    <col min="15640" max="15641" width="0" style="2" hidden="1" customWidth="1"/>
    <col min="15642" max="15642" width="12.85546875" style="2" bestFit="1" customWidth="1"/>
    <col min="15643" max="15643" width="5.140625" style="2" bestFit="1" customWidth="1"/>
    <col min="15644" max="15644" width="8.85546875" style="2" customWidth="1"/>
    <col min="15645" max="15872" width="9.140625" style="2"/>
    <col min="15873" max="15873" width="1.28515625" style="2" customWidth="1"/>
    <col min="15874" max="15874" width="43.42578125" style="2" customWidth="1"/>
    <col min="15875" max="15875" width="17.85546875" style="2" customWidth="1"/>
    <col min="15876" max="15876" width="18.5703125" style="2" customWidth="1"/>
    <col min="15877" max="15877" width="17.140625" style="2" customWidth="1"/>
    <col min="15878" max="15878" width="1" style="2" customWidth="1"/>
    <col min="15879" max="15879" width="7" style="2" bestFit="1" customWidth="1"/>
    <col min="15880" max="15881" width="0" style="2" hidden="1" customWidth="1"/>
    <col min="15882" max="15886" width="5.28515625" style="2" customWidth="1"/>
    <col min="15887" max="15889" width="0" style="2" hidden="1" customWidth="1"/>
    <col min="15890" max="15890" width="15" style="2" bestFit="1" customWidth="1"/>
    <col min="15891" max="15891" width="11.7109375" style="2" bestFit="1" customWidth="1"/>
    <col min="15892" max="15894" width="4" style="2" bestFit="1" customWidth="1"/>
    <col min="15895" max="15895" width="3.5703125" style="2" bestFit="1" customWidth="1"/>
    <col min="15896" max="15897" width="0" style="2" hidden="1" customWidth="1"/>
    <col min="15898" max="15898" width="12.85546875" style="2" bestFit="1" customWidth="1"/>
    <col min="15899" max="15899" width="5.140625" style="2" bestFit="1" customWidth="1"/>
    <col min="15900" max="15900" width="8.85546875" style="2" customWidth="1"/>
    <col min="15901" max="16128" width="9.140625" style="2"/>
    <col min="16129" max="16129" width="1.28515625" style="2" customWidth="1"/>
    <col min="16130" max="16130" width="43.42578125" style="2" customWidth="1"/>
    <col min="16131" max="16131" width="17.85546875" style="2" customWidth="1"/>
    <col min="16132" max="16132" width="18.5703125" style="2" customWidth="1"/>
    <col min="16133" max="16133" width="17.140625" style="2" customWidth="1"/>
    <col min="16134" max="16134" width="1" style="2" customWidth="1"/>
    <col min="16135" max="16135" width="7" style="2" bestFit="1" customWidth="1"/>
    <col min="16136" max="16137" width="0" style="2" hidden="1" customWidth="1"/>
    <col min="16138" max="16142" width="5.28515625" style="2" customWidth="1"/>
    <col min="16143" max="16145" width="0" style="2" hidden="1" customWidth="1"/>
    <col min="16146" max="16146" width="15" style="2" bestFit="1" customWidth="1"/>
    <col min="16147" max="16147" width="11.7109375" style="2" bestFit="1" customWidth="1"/>
    <col min="16148" max="16150" width="4" style="2" bestFit="1" customWidth="1"/>
    <col min="16151" max="16151" width="3.5703125" style="2" bestFit="1" customWidth="1"/>
    <col min="16152" max="16153" width="0" style="2" hidden="1" customWidth="1"/>
    <col min="16154" max="16154" width="12.85546875" style="2" bestFit="1" customWidth="1"/>
    <col min="16155" max="16155" width="5.140625" style="2" bestFit="1" customWidth="1"/>
    <col min="16156" max="16156" width="8.85546875" style="2" customWidth="1"/>
    <col min="16157" max="16384" width="9.140625" style="2"/>
  </cols>
  <sheetData>
    <row r="4" spans="1:10" x14ac:dyDescent="0.25">
      <c r="A4" s="1"/>
      <c r="B4" s="1"/>
      <c r="C4" s="1"/>
      <c r="D4" s="1"/>
      <c r="E4" s="1"/>
    </row>
    <row r="5" spans="1:10" x14ac:dyDescent="0.25">
      <c r="A5" s="5"/>
      <c r="B5" s="5"/>
      <c r="C5" s="5"/>
      <c r="D5" s="6"/>
      <c r="E5" s="5"/>
    </row>
    <row r="6" spans="1:10" ht="31.5" customHeight="1" x14ac:dyDescent="0.25">
      <c r="B6" s="7" t="s">
        <v>0</v>
      </c>
      <c r="C6" s="7"/>
      <c r="D6" s="7"/>
      <c r="E6" s="7"/>
    </row>
    <row r="7" spans="1:10" x14ac:dyDescent="0.25">
      <c r="B7" s="8" t="s">
        <v>1</v>
      </c>
    </row>
    <row r="8" spans="1:10" x14ac:dyDescent="0.25">
      <c r="B8" s="9" t="s">
        <v>2</v>
      </c>
      <c r="C8" s="10"/>
    </row>
    <row r="9" spans="1:10" x14ac:dyDescent="0.25">
      <c r="B9" s="11"/>
    </row>
    <row r="10" spans="1:10" x14ac:dyDescent="0.25">
      <c r="B10" s="12" t="s">
        <v>3</v>
      </c>
      <c r="C10" s="12"/>
      <c r="D10" s="12"/>
      <c r="E10" s="12"/>
    </row>
    <row r="11" spans="1:10" x14ac:dyDescent="0.25">
      <c r="B11" s="13"/>
    </row>
    <row r="12" spans="1:10" ht="144.75" customHeight="1" x14ac:dyDescent="0.25">
      <c r="B12" s="14" t="s">
        <v>4</v>
      </c>
      <c r="C12" s="14"/>
      <c r="D12" s="14"/>
      <c r="E12" s="14"/>
      <c r="G12" s="10"/>
      <c r="H12" s="10"/>
      <c r="I12" s="10"/>
      <c r="J12" s="15"/>
    </row>
    <row r="13" spans="1:10" ht="18" customHeight="1" x14ac:dyDescent="0.25">
      <c r="B13" s="16"/>
      <c r="C13" s="16"/>
      <c r="D13" s="16"/>
      <c r="E13" s="16"/>
      <c r="G13" s="10"/>
      <c r="H13" s="10"/>
      <c r="I13" s="10"/>
      <c r="J13" s="15"/>
    </row>
    <row r="14" spans="1:10" ht="27.75" customHeight="1" x14ac:dyDescent="0.25">
      <c r="B14" s="12" t="str">
        <f>("Principales funcionarios al "&amp;[1]BALANZA!B3&amp;".")</f>
        <v>Principales funcionarios al 30 de Septiembre del 2024.</v>
      </c>
      <c r="C14" s="12"/>
      <c r="D14" s="12"/>
      <c r="E14" s="12"/>
    </row>
    <row r="15" spans="1:10" ht="17.25" customHeight="1" x14ac:dyDescent="0.25">
      <c r="B15" s="17" t="s">
        <v>5</v>
      </c>
      <c r="C15" s="5" t="s">
        <v>6</v>
      </c>
      <c r="D15" s="5"/>
      <c r="F15" s="3"/>
      <c r="H15" s="3"/>
      <c r="J15" s="2"/>
    </row>
    <row r="16" spans="1:10" ht="17.25" customHeight="1" x14ac:dyDescent="0.25">
      <c r="B16" s="18" t="s">
        <v>7</v>
      </c>
      <c r="C16" s="2" t="s">
        <v>8</v>
      </c>
      <c r="D16" s="2"/>
      <c r="F16" s="3"/>
      <c r="H16" s="3"/>
      <c r="J16" s="2"/>
    </row>
    <row r="17" spans="2:10" ht="17.25" customHeight="1" x14ac:dyDescent="0.25">
      <c r="B17" s="19" t="s">
        <v>9</v>
      </c>
      <c r="C17" s="2" t="s">
        <v>10</v>
      </c>
      <c r="D17" s="2"/>
      <c r="F17" s="3"/>
      <c r="H17" s="3"/>
      <c r="J17" s="2"/>
    </row>
    <row r="18" spans="2:10" ht="17.25" customHeight="1" x14ac:dyDescent="0.25">
      <c r="B18" s="19" t="s">
        <v>11</v>
      </c>
      <c r="C18" s="2" t="s">
        <v>12</v>
      </c>
      <c r="F18" s="3"/>
      <c r="H18" s="3"/>
      <c r="J18" s="2"/>
    </row>
    <row r="19" spans="2:10" ht="17.25" customHeight="1" x14ac:dyDescent="0.25">
      <c r="B19" s="19" t="s">
        <v>13</v>
      </c>
      <c r="C19" s="2" t="s">
        <v>14</v>
      </c>
      <c r="F19" s="3"/>
      <c r="H19" s="3"/>
      <c r="J19" s="2"/>
    </row>
    <row r="20" spans="2:10" ht="17.25" customHeight="1" x14ac:dyDescent="0.25">
      <c r="B20" s="19" t="s">
        <v>15</v>
      </c>
      <c r="C20" s="2" t="s">
        <v>16</v>
      </c>
      <c r="F20" s="3"/>
      <c r="H20" s="3"/>
      <c r="J20" s="2"/>
    </row>
    <row r="21" spans="2:10" ht="17.25" customHeight="1" x14ac:dyDescent="0.25">
      <c r="B21" s="19" t="s">
        <v>17</v>
      </c>
      <c r="C21" s="2" t="s">
        <v>18</v>
      </c>
      <c r="F21" s="3"/>
      <c r="H21" s="3"/>
      <c r="J21" s="2"/>
    </row>
    <row r="22" spans="2:10" ht="17.25" customHeight="1" x14ac:dyDescent="0.25">
      <c r="B22" s="19" t="s">
        <v>19</v>
      </c>
      <c r="C22" s="2" t="s">
        <v>20</v>
      </c>
      <c r="F22" s="3"/>
      <c r="H22" s="3"/>
      <c r="J22" s="2"/>
    </row>
    <row r="23" spans="2:10" ht="17.25" customHeight="1" x14ac:dyDescent="0.25">
      <c r="B23" s="19" t="s">
        <v>21</v>
      </c>
      <c r="C23" s="2" t="s">
        <v>22</v>
      </c>
      <c r="F23" s="3"/>
      <c r="H23" s="3"/>
      <c r="J23" s="2"/>
    </row>
    <row r="24" spans="2:10" ht="17.25" customHeight="1" x14ac:dyDescent="0.25">
      <c r="B24" s="19" t="s">
        <v>23</v>
      </c>
      <c r="C24" s="2" t="s">
        <v>24</v>
      </c>
      <c r="F24" s="3"/>
      <c r="H24" s="3"/>
      <c r="J24" s="2"/>
    </row>
    <row r="25" spans="2:10" ht="17.25" customHeight="1" x14ac:dyDescent="0.25">
      <c r="B25" s="19" t="s">
        <v>25</v>
      </c>
      <c r="C25" s="2" t="s">
        <v>26</v>
      </c>
      <c r="F25" s="3"/>
      <c r="H25" s="3"/>
      <c r="J25" s="2"/>
    </row>
    <row r="26" spans="2:10" ht="17.25" customHeight="1" x14ac:dyDescent="0.25">
      <c r="B26" s="18" t="s">
        <v>27</v>
      </c>
      <c r="C26" s="2" t="s">
        <v>28</v>
      </c>
      <c r="D26" s="2"/>
      <c r="F26" s="3"/>
      <c r="H26" s="3"/>
      <c r="J26" s="2"/>
    </row>
    <row r="27" spans="2:10" x14ac:dyDescent="0.25">
      <c r="B27" s="19" t="s">
        <v>29</v>
      </c>
      <c r="C27" s="2" t="s">
        <v>30</v>
      </c>
      <c r="D27" s="2"/>
      <c r="F27" s="3"/>
      <c r="H27" s="3"/>
      <c r="J27" s="2"/>
    </row>
    <row r="28" spans="2:10" x14ac:dyDescent="0.25">
      <c r="B28" s="19" t="s">
        <v>31</v>
      </c>
      <c r="C28" s="2" t="s">
        <v>32</v>
      </c>
      <c r="D28" s="2"/>
      <c r="F28" s="3"/>
      <c r="H28" s="3"/>
      <c r="J28" s="2"/>
    </row>
    <row r="29" spans="2:10" x14ac:dyDescent="0.25">
      <c r="B29" s="18" t="s">
        <v>33</v>
      </c>
      <c r="C29" s="2" t="s">
        <v>34</v>
      </c>
      <c r="D29" s="2"/>
      <c r="F29" s="3"/>
      <c r="H29" s="3"/>
      <c r="J29" s="2"/>
    </row>
    <row r="30" spans="2:10" x14ac:dyDescent="0.25">
      <c r="B30" s="18" t="s">
        <v>35</v>
      </c>
      <c r="C30" s="2" t="s">
        <v>36</v>
      </c>
      <c r="D30" s="2"/>
      <c r="F30" s="3"/>
      <c r="H30" s="3"/>
      <c r="J30" s="2"/>
    </row>
    <row r="31" spans="2:10" x14ac:dyDescent="0.25">
      <c r="D31" s="2"/>
      <c r="F31" s="3"/>
      <c r="H31" s="3"/>
      <c r="J31" s="2"/>
    </row>
    <row r="32" spans="2:10" x14ac:dyDescent="0.25">
      <c r="B32" s="17"/>
      <c r="C32" s="3"/>
      <c r="D32" s="2"/>
    </row>
    <row r="33" spans="2:5" x14ac:dyDescent="0.25">
      <c r="B33" s="17"/>
      <c r="C33" s="3"/>
      <c r="D33" s="2"/>
    </row>
    <row r="34" spans="2:5" x14ac:dyDescent="0.25">
      <c r="B34" s="17"/>
      <c r="C34" s="3"/>
      <c r="D34" s="2"/>
    </row>
    <row r="35" spans="2:5" x14ac:dyDescent="0.25">
      <c r="B35" s="17"/>
      <c r="C35" s="3"/>
      <c r="D35" s="2"/>
    </row>
    <row r="36" spans="2:5" x14ac:dyDescent="0.25">
      <c r="B36" s="17"/>
      <c r="C36" s="3"/>
      <c r="D36" s="2"/>
    </row>
    <row r="37" spans="2:5" x14ac:dyDescent="0.25">
      <c r="B37" s="17"/>
      <c r="C37" s="3"/>
      <c r="D37" s="2"/>
    </row>
    <row r="38" spans="2:5" x14ac:dyDescent="0.25">
      <c r="B38" s="17"/>
      <c r="C38" s="3"/>
      <c r="D38" s="2"/>
    </row>
    <row r="39" spans="2:5" x14ac:dyDescent="0.25">
      <c r="B39" s="17"/>
      <c r="C39" s="3"/>
      <c r="D39" s="2"/>
    </row>
    <row r="40" spans="2:5" x14ac:dyDescent="0.25">
      <c r="B40" s="17"/>
      <c r="C40" s="3"/>
      <c r="D40" s="2"/>
    </row>
    <row r="41" spans="2:5" x14ac:dyDescent="0.25">
      <c r="B41" s="17"/>
      <c r="C41" s="3"/>
      <c r="D41" s="2"/>
    </row>
    <row r="42" spans="2:5" x14ac:dyDescent="0.25">
      <c r="B42" s="17"/>
      <c r="C42" s="3"/>
      <c r="D42" s="2"/>
    </row>
    <row r="43" spans="2:5" x14ac:dyDescent="0.25">
      <c r="B43" s="17"/>
      <c r="C43" s="3"/>
      <c r="D43" s="2"/>
    </row>
    <row r="44" spans="2:5" x14ac:dyDescent="0.25">
      <c r="B44" s="17" t="s">
        <v>37</v>
      </c>
    </row>
    <row r="45" spans="2:5" ht="30" customHeight="1" x14ac:dyDescent="0.25">
      <c r="B45" s="7" t="s">
        <v>38</v>
      </c>
      <c r="C45" s="7"/>
      <c r="D45" s="7"/>
      <c r="E45" s="7"/>
    </row>
    <row r="46" spans="2:5" ht="60" customHeight="1" x14ac:dyDescent="0.25">
      <c r="B46" s="20" t="s">
        <v>39</v>
      </c>
      <c r="C46" s="20"/>
      <c r="D46" s="20"/>
      <c r="E46" s="20"/>
    </row>
    <row r="47" spans="2:5" ht="56.25" customHeight="1" x14ac:dyDescent="0.25">
      <c r="B47" s="20" t="s">
        <v>40</v>
      </c>
      <c r="C47" s="20"/>
      <c r="D47" s="20"/>
      <c r="E47" s="20"/>
    </row>
    <row r="48" spans="2:5" ht="69.75" customHeight="1" x14ac:dyDescent="0.25">
      <c r="B48" s="14" t="s">
        <v>41</v>
      </c>
      <c r="C48" s="14"/>
      <c r="D48" s="14"/>
      <c r="E48" s="14"/>
    </row>
    <row r="49" spans="2:5" ht="13.5" customHeight="1" x14ac:dyDescent="0.25">
      <c r="B49" s="21"/>
      <c r="C49" s="21"/>
      <c r="D49" s="21"/>
      <c r="E49" s="21"/>
    </row>
    <row r="50" spans="2:5" ht="13.5" customHeight="1" x14ac:dyDescent="0.25">
      <c r="B50" s="21"/>
      <c r="C50" s="21"/>
      <c r="D50" s="21"/>
      <c r="E50" s="21"/>
    </row>
    <row r="51" spans="2:5" ht="22.5" customHeight="1" x14ac:dyDescent="0.25">
      <c r="B51" s="7" t="s">
        <v>42</v>
      </c>
      <c r="C51" s="7"/>
      <c r="D51" s="7"/>
      <c r="E51" s="7"/>
    </row>
    <row r="52" spans="2:5" ht="21" customHeight="1" x14ac:dyDescent="0.25">
      <c r="B52" s="7" t="s">
        <v>43</v>
      </c>
      <c r="C52" s="7"/>
      <c r="D52" s="7"/>
      <c r="E52" s="7"/>
    </row>
    <row r="53" spans="2:5" ht="9.75" customHeight="1" x14ac:dyDescent="0.25">
      <c r="B53" s="13"/>
    </row>
    <row r="54" spans="2:5" ht="48" customHeight="1" x14ac:dyDescent="0.25">
      <c r="B54" s="22" t="s">
        <v>44</v>
      </c>
      <c r="C54" s="22"/>
      <c r="D54" s="22"/>
      <c r="E54" s="22"/>
    </row>
    <row r="55" spans="2:5" ht="14.25" customHeight="1" x14ac:dyDescent="0.25">
      <c r="B55" s="23"/>
      <c r="C55" s="23"/>
      <c r="D55" s="23"/>
      <c r="E55" s="23"/>
    </row>
    <row r="56" spans="2:5" ht="14.25" customHeight="1" x14ac:dyDescent="0.25">
      <c r="B56" s="23"/>
      <c r="C56" s="23"/>
      <c r="D56" s="23"/>
      <c r="E56" s="23"/>
    </row>
    <row r="57" spans="2:5" ht="25.5" customHeight="1" x14ac:dyDescent="0.25">
      <c r="B57" s="17" t="s">
        <v>45</v>
      </c>
      <c r="C57" s="23"/>
      <c r="D57" s="24"/>
      <c r="E57" s="23"/>
    </row>
    <row r="58" spans="2:5" x14ac:dyDescent="0.25">
      <c r="B58" s="17" t="s">
        <v>46</v>
      </c>
    </row>
    <row r="59" spans="2:5" ht="55.5" customHeight="1" x14ac:dyDescent="0.25">
      <c r="B59" s="20" t="s">
        <v>47</v>
      </c>
      <c r="C59" s="20"/>
      <c r="D59" s="20"/>
      <c r="E59" s="20"/>
    </row>
    <row r="60" spans="2:5" ht="27" customHeight="1" x14ac:dyDescent="0.25">
      <c r="B60" s="20" t="s">
        <v>48</v>
      </c>
      <c r="C60" s="20"/>
      <c r="D60" s="20"/>
      <c r="E60" s="20"/>
    </row>
    <row r="61" spans="2:5" x14ac:dyDescent="0.25">
      <c r="B61" s="7" t="s">
        <v>49</v>
      </c>
      <c r="C61" s="7"/>
      <c r="D61" s="7"/>
      <c r="E61" s="7"/>
    </row>
    <row r="62" spans="2:5" ht="73.5" customHeight="1" x14ac:dyDescent="0.25">
      <c r="B62" s="25" t="s">
        <v>50</v>
      </c>
      <c r="C62" s="25"/>
      <c r="D62" s="25"/>
      <c r="E62" s="25"/>
    </row>
    <row r="63" spans="2:5" x14ac:dyDescent="0.25">
      <c r="B63" s="7" t="s">
        <v>51</v>
      </c>
      <c r="C63" s="7"/>
      <c r="D63" s="7"/>
      <c r="E63" s="7"/>
    </row>
    <row r="64" spans="2:5" ht="68.25" customHeight="1" x14ac:dyDescent="0.25">
      <c r="B64" s="14" t="s">
        <v>52</v>
      </c>
      <c r="C64" s="14"/>
      <c r="D64" s="14"/>
      <c r="E64" s="14"/>
    </row>
    <row r="65" spans="2:5" ht="68.25" customHeight="1" x14ac:dyDescent="0.25">
      <c r="B65" s="21"/>
      <c r="C65" s="21"/>
      <c r="D65" s="21"/>
      <c r="E65" s="21"/>
    </row>
    <row r="66" spans="2:5" ht="25.5" customHeight="1" x14ac:dyDescent="0.25">
      <c r="B66" s="7" t="s">
        <v>53</v>
      </c>
      <c r="C66" s="7"/>
      <c r="D66" s="7"/>
      <c r="E66" s="7"/>
    </row>
    <row r="67" spans="2:5" ht="46.5" customHeight="1" x14ac:dyDescent="0.25">
      <c r="B67" s="20" t="s">
        <v>54</v>
      </c>
      <c r="C67" s="20"/>
      <c r="D67" s="20"/>
      <c r="E67" s="20"/>
    </row>
    <row r="68" spans="2:5" ht="43.5" hidden="1" customHeight="1" x14ac:dyDescent="0.25">
      <c r="B68" s="26" t="s">
        <v>55</v>
      </c>
      <c r="C68" s="26"/>
      <c r="D68" s="26"/>
      <c r="E68" s="26"/>
    </row>
    <row r="69" spans="2:5" ht="58.5" hidden="1" customHeight="1" x14ac:dyDescent="0.25">
      <c r="B69" s="26" t="s">
        <v>56</v>
      </c>
      <c r="C69" s="26"/>
      <c r="D69" s="26"/>
      <c r="E69" s="26"/>
    </row>
    <row r="70" spans="2:5" ht="30" hidden="1" customHeight="1" x14ac:dyDescent="0.25">
      <c r="B70" s="26" t="s">
        <v>57</v>
      </c>
      <c r="C70" s="26"/>
      <c r="D70" s="26"/>
      <c r="E70" s="26"/>
    </row>
    <row r="71" spans="2:5" hidden="1" x14ac:dyDescent="0.25">
      <c r="B71" s="26" t="s">
        <v>58</v>
      </c>
      <c r="C71" s="26"/>
      <c r="D71" s="26"/>
      <c r="E71" s="26"/>
    </row>
    <row r="72" spans="2:5" ht="63.75" hidden="1" customHeight="1" x14ac:dyDescent="0.25">
      <c r="B72" s="26" t="s">
        <v>59</v>
      </c>
      <c r="C72" s="26"/>
      <c r="D72" s="26"/>
      <c r="E72" s="26"/>
    </row>
    <row r="73" spans="2:5" ht="42" hidden="1" customHeight="1" x14ac:dyDescent="0.25">
      <c r="B73" s="26" t="s">
        <v>60</v>
      </c>
      <c r="C73" s="26"/>
      <c r="D73" s="26"/>
      <c r="E73" s="26"/>
    </row>
    <row r="74" spans="2:5" ht="78.75" hidden="1" customHeight="1" x14ac:dyDescent="0.25">
      <c r="B74" s="26" t="s">
        <v>61</v>
      </c>
      <c r="C74" s="26"/>
      <c r="D74" s="26"/>
      <c r="E74" s="26"/>
    </row>
    <row r="75" spans="2:5" ht="66" hidden="1" customHeight="1" x14ac:dyDescent="0.25">
      <c r="B75" s="26" t="s">
        <v>62</v>
      </c>
      <c r="C75" s="26"/>
      <c r="D75" s="26"/>
      <c r="E75" s="26"/>
    </row>
    <row r="76" spans="2:5" ht="13.5" customHeight="1" x14ac:dyDescent="0.25">
      <c r="B76" s="27"/>
      <c r="C76" s="27"/>
      <c r="D76" s="28"/>
      <c r="E76" s="27"/>
    </row>
    <row r="77" spans="2:5" ht="26.25" customHeight="1" x14ac:dyDescent="0.25">
      <c r="B77" s="7" t="s">
        <v>63</v>
      </c>
      <c r="C77" s="7"/>
      <c r="D77" s="7"/>
      <c r="E77" s="7"/>
    </row>
    <row r="78" spans="2:5" ht="34.5" customHeight="1" x14ac:dyDescent="0.25">
      <c r="B78" s="29" t="s">
        <v>64</v>
      </c>
      <c r="C78" s="29"/>
      <c r="D78" s="29"/>
      <c r="E78" s="29"/>
    </row>
    <row r="79" spans="2:5" ht="15.75" customHeight="1" x14ac:dyDescent="0.25">
      <c r="B79" s="27"/>
      <c r="C79" s="27"/>
      <c r="D79" s="27"/>
      <c r="E79" s="27"/>
    </row>
    <row r="80" spans="2:5" ht="15.75" customHeight="1" x14ac:dyDescent="0.25">
      <c r="B80" s="30" t="s">
        <v>65</v>
      </c>
      <c r="C80" s="27"/>
      <c r="D80" s="28"/>
      <c r="E80" s="27"/>
    </row>
    <row r="81" spans="2:5" ht="20.25" customHeight="1" x14ac:dyDescent="0.25">
      <c r="B81" s="7" t="s">
        <v>66</v>
      </c>
      <c r="C81" s="7"/>
      <c r="D81" s="7"/>
      <c r="E81" s="7"/>
    </row>
    <row r="82" spans="2:5" x14ac:dyDescent="0.25">
      <c r="B82" s="7" t="s">
        <v>67</v>
      </c>
      <c r="C82" s="7"/>
      <c r="D82" s="7"/>
      <c r="E82" s="7"/>
    </row>
    <row r="83" spans="2:5" ht="49.5" customHeight="1" x14ac:dyDescent="0.25">
      <c r="B83" s="29" t="s">
        <v>68</v>
      </c>
      <c r="C83" s="29"/>
      <c r="D83" s="29"/>
      <c r="E83" s="29"/>
    </row>
    <row r="84" spans="2:5" x14ac:dyDescent="0.25">
      <c r="B84" s="7" t="s">
        <v>69</v>
      </c>
      <c r="C84" s="7"/>
      <c r="D84" s="7"/>
      <c r="E84" s="7"/>
    </row>
    <row r="85" spans="2:5" ht="45" customHeight="1" x14ac:dyDescent="0.25">
      <c r="B85" s="20" t="s">
        <v>70</v>
      </c>
      <c r="C85" s="20"/>
      <c r="D85" s="20"/>
      <c r="E85" s="20"/>
    </row>
    <row r="86" spans="2:5" x14ac:dyDescent="0.25">
      <c r="B86" s="7" t="s">
        <v>71</v>
      </c>
      <c r="C86" s="7"/>
      <c r="D86" s="7"/>
      <c r="E86" s="7"/>
    </row>
    <row r="87" spans="2:5" ht="39.75" customHeight="1" x14ac:dyDescent="0.25">
      <c r="B87" s="20" t="s">
        <v>72</v>
      </c>
      <c r="C87" s="20"/>
      <c r="D87" s="20"/>
      <c r="E87" s="20"/>
    </row>
    <row r="88" spans="2:5" x14ac:dyDescent="0.25">
      <c r="B88" s="7" t="s">
        <v>73</v>
      </c>
      <c r="C88" s="7"/>
      <c r="D88" s="7"/>
      <c r="E88" s="7"/>
    </row>
    <row r="89" spans="2:5" ht="40.5" customHeight="1" x14ac:dyDescent="0.25">
      <c r="B89" s="20" t="s">
        <v>74</v>
      </c>
      <c r="C89" s="20"/>
      <c r="D89" s="20"/>
      <c r="E89" s="20"/>
    </row>
    <row r="90" spans="2:5" x14ac:dyDescent="0.25">
      <c r="B90" s="7" t="s">
        <v>75</v>
      </c>
      <c r="C90" s="7"/>
      <c r="D90" s="7"/>
      <c r="E90" s="7"/>
    </row>
    <row r="91" spans="2:5" ht="39" customHeight="1" x14ac:dyDescent="0.25">
      <c r="B91" s="20" t="s">
        <v>76</v>
      </c>
      <c r="C91" s="20"/>
      <c r="D91" s="20"/>
      <c r="E91" s="20"/>
    </row>
    <row r="92" spans="2:5" x14ac:dyDescent="0.25">
      <c r="B92" s="7" t="s">
        <v>77</v>
      </c>
      <c r="C92" s="7"/>
      <c r="D92" s="7"/>
      <c r="E92" s="7"/>
    </row>
    <row r="93" spans="2:5" ht="25.5" customHeight="1" x14ac:dyDescent="0.25">
      <c r="B93" s="7" t="s">
        <v>78</v>
      </c>
      <c r="C93" s="7"/>
      <c r="D93" s="7"/>
      <c r="E93" s="7"/>
    </row>
    <row r="94" spans="2:5" ht="45" customHeight="1" x14ac:dyDescent="0.25">
      <c r="B94" s="20" t="s">
        <v>79</v>
      </c>
      <c r="C94" s="20"/>
      <c r="D94" s="20"/>
      <c r="E94" s="20"/>
    </row>
    <row r="95" spans="2:5" ht="35.25" customHeight="1" x14ac:dyDescent="0.25">
      <c r="B95" s="20" t="s">
        <v>80</v>
      </c>
      <c r="C95" s="20"/>
      <c r="D95" s="20"/>
      <c r="E95" s="20"/>
    </row>
    <row r="96" spans="2:5" ht="39.75" customHeight="1" x14ac:dyDescent="0.25">
      <c r="B96" s="14" t="s">
        <v>81</v>
      </c>
      <c r="C96" s="14"/>
      <c r="D96" s="14"/>
      <c r="E96" s="14"/>
    </row>
    <row r="97" spans="2:26" ht="51.75" customHeight="1" x14ac:dyDescent="0.25">
      <c r="B97" s="20" t="s">
        <v>82</v>
      </c>
      <c r="C97" s="20"/>
      <c r="D97" s="20"/>
      <c r="E97" s="20"/>
    </row>
    <row r="98" spans="2:26" ht="24.75" customHeight="1" x14ac:dyDescent="0.25">
      <c r="B98" s="16"/>
      <c r="C98" s="16"/>
      <c r="D98" s="16"/>
      <c r="E98" s="16"/>
    </row>
    <row r="99" spans="2:26" ht="33" customHeight="1" x14ac:dyDescent="0.25">
      <c r="B99" s="16"/>
      <c r="C99" s="16"/>
      <c r="D99" s="16"/>
      <c r="E99" s="16"/>
    </row>
    <row r="100" spans="2:26" ht="36.75" customHeight="1" x14ac:dyDescent="0.25">
      <c r="B100" s="20" t="s">
        <v>83</v>
      </c>
      <c r="C100" s="20"/>
      <c r="D100" s="20"/>
      <c r="E100" s="20"/>
    </row>
    <row r="101" spans="2:26" ht="87.75" customHeight="1" x14ac:dyDescent="0.25">
      <c r="B101" s="20" t="s">
        <v>84</v>
      </c>
      <c r="C101" s="20"/>
      <c r="D101" s="20"/>
      <c r="E101" s="20"/>
    </row>
    <row r="102" spans="2:26" s="31" customFormat="1" ht="11.25" customHeight="1" x14ac:dyDescent="0.25">
      <c r="B102" s="32"/>
      <c r="C102" s="32"/>
      <c r="D102" s="33"/>
      <c r="E102" s="32"/>
      <c r="J102" s="34"/>
      <c r="N102" s="34"/>
      <c r="R102" s="35"/>
      <c r="S102" s="35"/>
      <c r="T102" s="35"/>
      <c r="U102" s="35"/>
      <c r="V102" s="35"/>
      <c r="W102" s="35"/>
      <c r="X102" s="35"/>
      <c r="Y102" s="35"/>
      <c r="Z102" s="34"/>
    </row>
    <row r="103" spans="2:26" ht="11.25" customHeight="1" x14ac:dyDescent="0.25">
      <c r="B103" s="16"/>
      <c r="C103" s="16"/>
      <c r="D103" s="36"/>
      <c r="E103" s="16"/>
    </row>
    <row r="104" spans="2:26" ht="18.75" customHeight="1" x14ac:dyDescent="0.25">
      <c r="B104" s="12" t="s">
        <v>85</v>
      </c>
      <c r="C104" s="12"/>
      <c r="D104" s="12"/>
      <c r="E104" s="12"/>
    </row>
    <row r="105" spans="2:26" ht="66.75" customHeight="1" x14ac:dyDescent="0.25">
      <c r="B105" s="20" t="s">
        <v>86</v>
      </c>
      <c r="C105" s="20"/>
      <c r="D105" s="20"/>
      <c r="E105" s="20"/>
    </row>
    <row r="106" spans="2:26" ht="55.5" customHeight="1" x14ac:dyDescent="0.25">
      <c r="B106" s="20" t="s">
        <v>87</v>
      </c>
      <c r="C106" s="20"/>
      <c r="D106" s="20"/>
      <c r="E106" s="20"/>
    </row>
    <row r="107" spans="2:26" ht="18.75" customHeight="1" x14ac:dyDescent="0.25">
      <c r="B107" s="12" t="s">
        <v>88</v>
      </c>
      <c r="C107" s="12"/>
      <c r="D107" s="12"/>
      <c r="E107" s="12"/>
    </row>
    <row r="108" spans="2:26" ht="42" customHeight="1" x14ac:dyDescent="0.25">
      <c r="B108" s="20" t="s">
        <v>89</v>
      </c>
      <c r="C108" s="20"/>
      <c r="D108" s="20"/>
      <c r="E108" s="20"/>
    </row>
    <row r="109" spans="2:26" ht="8.25" customHeight="1" x14ac:dyDescent="0.25">
      <c r="B109" s="16"/>
      <c r="C109" s="16"/>
      <c r="D109" s="36"/>
      <c r="E109" s="16"/>
    </row>
    <row r="110" spans="2:26" x14ac:dyDescent="0.25">
      <c r="B110" s="7" t="s">
        <v>90</v>
      </c>
      <c r="C110" s="7"/>
      <c r="D110" s="7"/>
      <c r="E110" s="7"/>
    </row>
    <row r="111" spans="2:26" ht="27" customHeight="1" x14ac:dyDescent="0.25">
      <c r="B111" s="7" t="s">
        <v>91</v>
      </c>
      <c r="C111" s="7"/>
      <c r="D111" s="7"/>
      <c r="E111" s="7"/>
    </row>
    <row r="112" spans="2:26" ht="37.5" customHeight="1" x14ac:dyDescent="0.25">
      <c r="B112" s="14" t="str">
        <f>("Un detalle del "&amp;_Toc208202813&amp;" al "&amp;[1]BALANZA!$B$3&amp;" "&amp;[1]BALANZA!$C$3&amp;" es como se detalla a continuación:")</f>
        <v>Un detalle del Efectivo y equivalentes de efectivo. al 30 de Septiembre del 2024 - 2023 es como se detalla a continuación:</v>
      </c>
      <c r="C112" s="37"/>
      <c r="D112" s="37"/>
      <c r="E112" s="37"/>
    </row>
    <row r="113" spans="2:26" ht="41.25" customHeight="1" x14ac:dyDescent="0.25">
      <c r="B113" s="20" t="str">
        <f>("El efectivo disponible en caja y cuentas bancarias presenta los siguientes ascenso  para el "&amp;C117&amp;" RD$"&amp;R126&amp;"  y para el "&amp;D117&amp;" fue de RD$ "&amp;R127&amp;" , el cual se detalla a continuación:")</f>
        <v>El efectivo disponible en caja y cuentas bancarias presenta los siguientes ascenso  para el 2024 RD$308,730,791.92  y para el 2023 fue de RD$ 198,749,953.57 , el cual se detalla a continuación:</v>
      </c>
      <c r="C113" s="20"/>
      <c r="D113" s="20"/>
      <c r="E113" s="20"/>
    </row>
    <row r="114" spans="2:26" ht="57.75" customHeight="1" x14ac:dyDescent="0.25">
      <c r="B114" s="20" t="s">
        <v>92</v>
      </c>
      <c r="C114" s="20"/>
      <c r="D114" s="20"/>
      <c r="E114" s="20"/>
    </row>
    <row r="115" spans="2:26" ht="22.5" customHeight="1" x14ac:dyDescent="0.25">
      <c r="B115" s="20" t="s">
        <v>93</v>
      </c>
      <c r="C115" s="20"/>
      <c r="D115" s="20"/>
      <c r="E115" s="20"/>
    </row>
    <row r="116" spans="2:26" ht="7.5" customHeight="1" x14ac:dyDescent="0.25">
      <c r="B116" s="13"/>
    </row>
    <row r="117" spans="2:26" x14ac:dyDescent="0.25">
      <c r="B117" s="38" t="s">
        <v>94</v>
      </c>
      <c r="C117" s="39">
        <f>+[1]BALANZA!B4</f>
        <v>2024</v>
      </c>
      <c r="D117" s="40">
        <f>+[1]BALANZA!C4</f>
        <v>2023</v>
      </c>
      <c r="E117" s="41" t="s">
        <v>95</v>
      </c>
    </row>
    <row r="118" spans="2:26" ht="18" hidden="1" customHeight="1" x14ac:dyDescent="0.25">
      <c r="B118" s="42" t="s">
        <v>96</v>
      </c>
      <c r="C118" s="43">
        <f>+'[1]BALANZA G'!C12</f>
        <v>0</v>
      </c>
      <c r="D118" s="44">
        <f>+'[1]BALANZA G'!D12</f>
        <v>0</v>
      </c>
      <c r="E118" s="45">
        <f t="shared" ref="E118:E124" si="0">+C118-D118</f>
        <v>0</v>
      </c>
    </row>
    <row r="119" spans="2:26" ht="18" customHeight="1" x14ac:dyDescent="0.25">
      <c r="B119" s="42" t="s">
        <v>97</v>
      </c>
      <c r="C119" s="43">
        <f>+'[1]BALANZA G'!C13</f>
        <v>110000</v>
      </c>
      <c r="D119" s="44">
        <f>+'[1]BALANZA G'!D13</f>
        <v>110000</v>
      </c>
      <c r="E119" s="45">
        <f t="shared" si="0"/>
        <v>0</v>
      </c>
    </row>
    <row r="120" spans="2:26" ht="18" customHeight="1" x14ac:dyDescent="0.25">
      <c r="B120" s="42" t="s">
        <v>98</v>
      </c>
      <c r="C120" s="43">
        <f>+'[1]BALANZA G'!C23</f>
        <v>274483.45</v>
      </c>
      <c r="D120" s="43">
        <f>IF(+'[1]BALANZA G'!D23&gt;0,+'[1]BALANZA G'!D23,0)</f>
        <v>271650.45</v>
      </c>
      <c r="E120" s="45">
        <f t="shared" si="0"/>
        <v>2833</v>
      </c>
    </row>
    <row r="121" spans="2:26" ht="18" customHeight="1" x14ac:dyDescent="0.25">
      <c r="B121" s="46" t="s">
        <v>99</v>
      </c>
      <c r="C121" s="43">
        <f>+'[1]BALANZA G'!C25</f>
        <v>568543.36</v>
      </c>
      <c r="D121" s="43">
        <f>IF(+'[1]BALANZA G'!D25&gt;0,+'[1]BALANZA G'!D25,0)</f>
        <v>1505395.67</v>
      </c>
      <c r="E121" s="47">
        <f t="shared" si="0"/>
        <v>-936852.30999999994</v>
      </c>
    </row>
    <row r="122" spans="2:26" ht="30" customHeight="1" x14ac:dyDescent="0.25">
      <c r="B122" s="42" t="s">
        <v>100</v>
      </c>
      <c r="C122" s="43">
        <f>+'[1]BALANZA G'!C24</f>
        <v>862317.46</v>
      </c>
      <c r="D122" s="43">
        <f>IF(+'[1]BALANZA G'!D24&gt;0,+'[1]BALANZA G'!D24,0)</f>
        <v>38274754.43</v>
      </c>
      <c r="E122" s="45">
        <f t="shared" si="0"/>
        <v>-37412436.969999999</v>
      </c>
    </row>
    <row r="123" spans="2:26" ht="17.25" customHeight="1" x14ac:dyDescent="0.25">
      <c r="B123" s="42" t="s">
        <v>101</v>
      </c>
      <c r="C123" s="43">
        <f>+'[1]BALANZA G'!C26</f>
        <v>945949.71</v>
      </c>
      <c r="D123" s="43">
        <f>+'[1]BALANZA G'!D26</f>
        <v>1016617.28</v>
      </c>
      <c r="E123" s="45">
        <f t="shared" si="0"/>
        <v>-70667.570000000065</v>
      </c>
    </row>
    <row r="124" spans="2:26" ht="17.25" customHeight="1" x14ac:dyDescent="0.25">
      <c r="B124" s="48" t="s">
        <v>102</v>
      </c>
      <c r="C124" s="49">
        <f>+'[1]BALANZA G'!C27+'[1]BALANZA G'!C22</f>
        <v>305969497.94</v>
      </c>
      <c r="D124" s="43">
        <f>+'[1]BALANZA G'!D27+'[1]BALANZA G'!D22</f>
        <v>157571535.74000001</v>
      </c>
      <c r="E124" s="45">
        <f t="shared" si="0"/>
        <v>148397962.19999999</v>
      </c>
    </row>
    <row r="125" spans="2:26" ht="12.75" hidden="1" customHeight="1" x14ac:dyDescent="0.25">
      <c r="B125" s="48" t="s">
        <v>103</v>
      </c>
      <c r="C125" s="49">
        <f>+'[1]BALANZA G'!C28</f>
        <v>0</v>
      </c>
      <c r="D125" s="43">
        <f>+'[1]BALANZA G'!D28</f>
        <v>0</v>
      </c>
      <c r="E125" s="45"/>
    </row>
    <row r="126" spans="2:26" s="50" customFormat="1" ht="12.75" customHeight="1" x14ac:dyDescent="0.25">
      <c r="B126" s="51" t="s">
        <v>104</v>
      </c>
      <c r="C126" s="52">
        <f>SUM(C118:C125)</f>
        <v>308730791.92000002</v>
      </c>
      <c r="D126" s="52">
        <f>SUM(D118:D125)</f>
        <v>198749953.56999999</v>
      </c>
      <c r="E126" s="53">
        <f>SUM(E118:E122)</f>
        <v>-38346456.280000001</v>
      </c>
      <c r="J126" s="54"/>
      <c r="N126" s="54"/>
      <c r="R126" s="4" t="str">
        <f>+CONCATENATE(T126,",",U126,",",V126,W126)</f>
        <v>308,730,791.92</v>
      </c>
      <c r="S126" s="4"/>
      <c r="T126" s="4" t="str">
        <f>MID(C126,1,3)</f>
        <v>308</v>
      </c>
      <c r="U126" s="4" t="str">
        <f>MID(C126,4,3)</f>
        <v>730</v>
      </c>
      <c r="V126" s="4" t="str">
        <f>MID(C126,7,3)</f>
        <v>791</v>
      </c>
      <c r="W126" s="4" t="str">
        <f>MID(C126,10,3)</f>
        <v>.92</v>
      </c>
      <c r="X126" s="4"/>
      <c r="Y126" s="55"/>
      <c r="Z126" s="54"/>
    </row>
    <row r="127" spans="2:26" s="50" customFormat="1" x14ac:dyDescent="0.25">
      <c r="B127" s="56"/>
      <c r="C127" s="57">
        <f>+C126-'[1]ES F '!B11</f>
        <v>0</v>
      </c>
      <c r="D127" s="58"/>
      <c r="E127" s="59"/>
      <c r="J127" s="54"/>
      <c r="N127" s="54"/>
      <c r="R127" s="4" t="str">
        <f>+CONCATENATE(T127,",",U127,",",V127,W127)</f>
        <v>198,749,953.57</v>
      </c>
      <c r="S127" s="4"/>
      <c r="T127" s="4" t="str">
        <f>MID(D126,1,3)</f>
        <v>198</v>
      </c>
      <c r="U127" s="4" t="str">
        <f>MID(D126,4,3)</f>
        <v>749</v>
      </c>
      <c r="V127" s="4" t="str">
        <f>MID(D126,7,3)</f>
        <v>953</v>
      </c>
      <c r="W127" s="4" t="str">
        <f>MID(D126,10,3)</f>
        <v>.57</v>
      </c>
      <c r="X127" s="4" t="str">
        <f>MID(E127,7,3)</f>
        <v/>
      </c>
      <c r="Y127" s="4" t="str">
        <f>MID(C127,10,3)</f>
        <v/>
      </c>
      <c r="Z127" s="54"/>
    </row>
    <row r="128" spans="2:26" s="50" customFormat="1" x14ac:dyDescent="0.25">
      <c r="B128" s="60" t="str">
        <f>("Cambio porcentual con relación al "&amp;$D$117&amp;".")</f>
        <v>Cambio porcentual con relación al 2023.</v>
      </c>
      <c r="C128" s="61"/>
      <c r="D128" s="62" t="str">
        <f>IF(E128&gt;=0,"Aumento","Disminución")</f>
        <v>Disminución</v>
      </c>
      <c r="E128" s="63">
        <f>+E126/D126</f>
        <v>-0.19293818987733413</v>
      </c>
      <c r="J128" s="54"/>
      <c r="N128" s="54"/>
      <c r="R128" s="55"/>
      <c r="S128" s="55"/>
      <c r="T128" s="55"/>
      <c r="U128" s="55"/>
      <c r="V128" s="55"/>
      <c r="W128" s="55"/>
      <c r="X128" s="55"/>
      <c r="Y128" s="55"/>
      <c r="Z128" s="54"/>
    </row>
    <row r="129" spans="2:26" s="50" customFormat="1" x14ac:dyDescent="0.25">
      <c r="B129" s="64"/>
      <c r="C129" s="64"/>
      <c r="D129" s="65"/>
      <c r="E129" s="66"/>
      <c r="J129" s="54"/>
      <c r="N129" s="54"/>
      <c r="R129" s="55"/>
      <c r="S129" s="55"/>
      <c r="T129" s="55"/>
      <c r="U129" s="55"/>
      <c r="V129" s="55"/>
      <c r="W129" s="55"/>
      <c r="X129" s="55"/>
      <c r="Y129" s="55"/>
      <c r="Z129" s="54"/>
    </row>
    <row r="130" spans="2:26" s="50" customFormat="1" x14ac:dyDescent="0.25">
      <c r="B130" s="64"/>
      <c r="C130" s="64"/>
      <c r="D130" s="65"/>
      <c r="E130" s="66"/>
      <c r="J130" s="54"/>
      <c r="N130" s="54"/>
      <c r="R130" s="55"/>
      <c r="S130" s="55"/>
      <c r="T130" s="55"/>
      <c r="U130" s="55"/>
      <c r="V130" s="55"/>
      <c r="W130" s="55"/>
      <c r="X130" s="55"/>
      <c r="Y130" s="55"/>
      <c r="Z130" s="54"/>
    </row>
    <row r="131" spans="2:26" s="50" customFormat="1" x14ac:dyDescent="0.25">
      <c r="B131" s="64"/>
      <c r="C131" s="64"/>
      <c r="D131" s="65"/>
      <c r="E131" s="66"/>
      <c r="J131" s="54"/>
      <c r="N131" s="54"/>
      <c r="R131" s="55"/>
      <c r="S131" s="55"/>
      <c r="T131" s="55"/>
      <c r="U131" s="55"/>
      <c r="V131" s="55"/>
      <c r="W131" s="55"/>
      <c r="X131" s="55"/>
      <c r="Y131" s="55"/>
      <c r="Z131" s="54"/>
    </row>
    <row r="132" spans="2:26" s="50" customFormat="1" x14ac:dyDescent="0.25">
      <c r="B132" s="64"/>
      <c r="C132" s="64"/>
      <c r="D132" s="65"/>
      <c r="E132" s="66"/>
      <c r="J132" s="54"/>
      <c r="N132" s="54"/>
      <c r="R132" s="55"/>
      <c r="S132" s="55"/>
      <c r="T132" s="55"/>
      <c r="U132" s="55"/>
      <c r="V132" s="55"/>
      <c r="W132" s="55"/>
      <c r="X132" s="55"/>
      <c r="Y132" s="55"/>
      <c r="Z132" s="54"/>
    </row>
    <row r="133" spans="2:26" s="50" customFormat="1" x14ac:dyDescent="0.25">
      <c r="B133" s="64"/>
      <c r="C133" s="64"/>
      <c r="D133" s="65"/>
      <c r="E133" s="66"/>
      <c r="J133" s="54"/>
      <c r="N133" s="54"/>
      <c r="R133" s="55"/>
      <c r="S133" s="55"/>
      <c r="T133" s="55"/>
      <c r="U133" s="55"/>
      <c r="V133" s="55"/>
      <c r="W133" s="55"/>
      <c r="X133" s="55"/>
      <c r="Y133" s="55"/>
      <c r="Z133" s="54"/>
    </row>
    <row r="134" spans="2:26" x14ac:dyDescent="0.25">
      <c r="B134" s="11" t="s">
        <v>105</v>
      </c>
    </row>
    <row r="135" spans="2:26" x14ac:dyDescent="0.25">
      <c r="B135" s="67" t="s">
        <v>106</v>
      </c>
      <c r="C135" s="67"/>
      <c r="D135" s="67"/>
      <c r="E135" s="67"/>
    </row>
    <row r="136" spans="2:26" ht="23.25" customHeight="1" x14ac:dyDescent="0.25">
      <c r="B136" s="14" t="str">
        <f>("Un detalle del "&amp;B135&amp;" al "&amp;[1]BALANZA!$B$3&amp;" "&amp;[1]BALANZA!$C$3&amp;" es como se detalla a continuación:")</f>
        <v>Un detalle del Inversiones a corto plazo al 30 de Septiembre del 2024 - 2023 es como se detalla a continuación:</v>
      </c>
      <c r="C136" s="37"/>
      <c r="D136" s="37"/>
      <c r="E136" s="37"/>
    </row>
    <row r="137" spans="2:26" ht="45" customHeight="1" x14ac:dyDescent="0.25">
      <c r="B137" s="20" t="str">
        <f>("Las inversiones a corto plazo enta integrado por un certificado financiero en el banco de reservas a un año renobable a la tasa de 0.12% anual, para el "&amp;C139&amp;" el total era de RD$ "&amp;R142&amp;" y para el "&amp;D139&amp;" el total fue de RD$ "&amp;R143&amp;" , Según el siguiente detalle:")</f>
        <v>Las inversiones a corto plazo enta integrado por un certificado financiero en el banco de reservas a un año renobable a la tasa de 0.12% anual, para el 2024 el total era de RD$ 453,000.00 y para el 2023 el total fue de RD$ 453,000.00 , Según el siguiente detalle:</v>
      </c>
      <c r="C137" s="20"/>
      <c r="D137" s="20"/>
      <c r="E137" s="20"/>
    </row>
    <row r="138" spans="2:26" x14ac:dyDescent="0.25">
      <c r="B138" s="68"/>
    </row>
    <row r="139" spans="2:26" x14ac:dyDescent="0.25">
      <c r="B139" s="41" t="s">
        <v>94</v>
      </c>
      <c r="C139" s="41">
        <f>+[1]BALANZA!B4</f>
        <v>2024</v>
      </c>
      <c r="D139" s="41">
        <f>+[1]BALANZA!C4</f>
        <v>2023</v>
      </c>
      <c r="E139" s="41" t="s">
        <v>95</v>
      </c>
    </row>
    <row r="140" spans="2:26" hidden="1" x14ac:dyDescent="0.25">
      <c r="B140" s="69" t="s">
        <v>107</v>
      </c>
      <c r="C140" s="70">
        <f>+'[1]BALANZA G'!C15</f>
        <v>80000</v>
      </c>
      <c r="D140" s="71">
        <f>+'[1]BALANZA G'!D15</f>
        <v>80000</v>
      </c>
      <c r="E140" s="72">
        <f>+C140-D140</f>
        <v>0</v>
      </c>
    </row>
    <row r="141" spans="2:26" x14ac:dyDescent="0.25">
      <c r="B141" s="69" t="s">
        <v>108</v>
      </c>
      <c r="C141" s="73">
        <f>+'[1]BALANZA G'!C30</f>
        <v>453000</v>
      </c>
      <c r="D141" s="74">
        <f>+'[1]BALANZA G'!D30</f>
        <v>453000</v>
      </c>
      <c r="E141" s="75">
        <f>+C141-D141</f>
        <v>0</v>
      </c>
    </row>
    <row r="142" spans="2:26" x14ac:dyDescent="0.25">
      <c r="B142" s="76" t="s">
        <v>109</v>
      </c>
      <c r="C142" s="53">
        <f>SUM(C141:C141)</f>
        <v>453000</v>
      </c>
      <c r="D142" s="77">
        <f>SUM(D141:D141)</f>
        <v>453000</v>
      </c>
      <c r="E142" s="53">
        <f>SUM(E140:E141)</f>
        <v>0</v>
      </c>
      <c r="R142" s="4" t="str">
        <f>+CONCATENATE(S142,",",T142,U142,".00")</f>
        <v>453,000.00</v>
      </c>
      <c r="S142" s="4" t="str">
        <f>MID(C142,1,3)</f>
        <v>453</v>
      </c>
      <c r="T142" s="4" t="str">
        <f>MID(C141,4,3)</f>
        <v>000</v>
      </c>
      <c r="U142" s="4" t="str">
        <f>MID(D141,7,3)</f>
        <v/>
      </c>
    </row>
    <row r="143" spans="2:26" x14ac:dyDescent="0.25">
      <c r="B143" s="78"/>
      <c r="C143" s="79">
        <f>+C142-'[1]ES F '!B12</f>
        <v>0</v>
      </c>
      <c r="D143" s="80"/>
      <c r="E143" s="79"/>
      <c r="R143" s="4" t="str">
        <f>+CONCATENATE(S143,",",T143,U143,".00")</f>
        <v>453,000.00</v>
      </c>
      <c r="S143" s="4" t="str">
        <f>MID(D142,1,3)</f>
        <v>453</v>
      </c>
      <c r="T143" s="4" t="str">
        <f>MID(D142,4,3)</f>
        <v>000</v>
      </c>
      <c r="U143" s="4" t="str">
        <f>MID(E142,7,3)</f>
        <v/>
      </c>
    </row>
    <row r="144" spans="2:26" s="50" customFormat="1" x14ac:dyDescent="0.25">
      <c r="B144" s="60" t="str">
        <f>("Cambio porcentual con relación al "&amp;$D$117&amp;".")</f>
        <v>Cambio porcentual con relación al 2023.</v>
      </c>
      <c r="C144" s="61"/>
      <c r="D144" s="81" t="str">
        <f>IF(E144&gt;=0,"Aumento","Disminución")</f>
        <v>Aumento</v>
      </c>
      <c r="E144" s="63">
        <f>+E142/D142</f>
        <v>0</v>
      </c>
      <c r="J144" s="54"/>
      <c r="N144" s="54"/>
      <c r="R144" s="55"/>
      <c r="S144" s="55"/>
      <c r="T144" s="55"/>
      <c r="U144" s="55"/>
      <c r="V144" s="55"/>
      <c r="W144" s="55"/>
      <c r="X144" s="55"/>
      <c r="Y144" s="55"/>
      <c r="Z144" s="54"/>
    </row>
    <row r="145" spans="1:26" s="50" customFormat="1" x14ac:dyDescent="0.25">
      <c r="B145" s="64"/>
      <c r="C145" s="64"/>
      <c r="D145" s="65"/>
      <c r="E145" s="66"/>
      <c r="J145" s="54"/>
      <c r="N145" s="54"/>
      <c r="R145" s="55"/>
      <c r="S145" s="55"/>
      <c r="T145" s="55"/>
      <c r="U145" s="55"/>
      <c r="V145" s="55"/>
      <c r="W145" s="55"/>
      <c r="X145" s="55"/>
      <c r="Y145" s="55"/>
      <c r="Z145" s="54"/>
    </row>
    <row r="146" spans="1:26" x14ac:dyDescent="0.25">
      <c r="B146" s="68" t="s">
        <v>110</v>
      </c>
    </row>
    <row r="147" spans="1:26" ht="18.75" customHeight="1" x14ac:dyDescent="0.25">
      <c r="B147" s="67" t="s">
        <v>111</v>
      </c>
      <c r="C147" s="67"/>
      <c r="D147" s="67"/>
      <c r="E147" s="67"/>
    </row>
    <row r="148" spans="1:26" ht="36" customHeight="1" x14ac:dyDescent="0.25">
      <c r="B148" s="14" t="str">
        <f>("Un detalle de las "&amp;B147&amp;" al "&amp;[1]BALANZA!$B$3&amp;""&amp;[1]BALANZA!$C$3&amp;" es como se detalla a continuación:")</f>
        <v>Un detalle de las Cuentas por cobrar a corto plazo al 30 de Septiembre del 2024- 2023 es como se detalla a continuación:</v>
      </c>
      <c r="C148" s="37"/>
      <c r="D148" s="37"/>
      <c r="E148" s="37"/>
      <c r="L148" s="2" t="s">
        <v>112</v>
      </c>
    </row>
    <row r="149" spans="1:26" ht="51" customHeight="1" x14ac:dyDescent="0.25">
      <c r="A149" s="82"/>
      <c r="B149" s="83" t="str">
        <f>("Las Cuentas por cobrar  están representados por las partidas  Cuentas por cobrar Empleados, Para el "&amp;C151&amp;" el monto total de estas partidas fue por RD$ "&amp;R154&amp;" y para el "&amp;D151&amp;" el monto era RD$ "&amp;R155&amp;"  ,   de Según el siguiente detalle:")</f>
        <v>Las Cuentas por cobrar  están representados por las partidas  Cuentas por cobrar Empleados, Para el 2024 el monto total de estas partidas fue por RD$ 1,350.12 y para el 2023 el monto era RD$ 13,209,579.00  ,   de Según el siguiente detalle:</v>
      </c>
      <c r="C149" s="83"/>
      <c r="D149" s="83"/>
      <c r="E149" s="83"/>
    </row>
    <row r="150" spans="1:26" x14ac:dyDescent="0.25">
      <c r="B150" s="84"/>
    </row>
    <row r="151" spans="1:26" x14ac:dyDescent="0.25">
      <c r="B151" s="38" t="s">
        <v>94</v>
      </c>
      <c r="C151" s="38">
        <f>+C360</f>
        <v>2024</v>
      </c>
      <c r="D151" s="38">
        <f>+D360</f>
        <v>2023</v>
      </c>
      <c r="E151" s="38" t="s">
        <v>95</v>
      </c>
    </row>
    <row r="152" spans="1:26" ht="17.25" customHeight="1" x14ac:dyDescent="0.25">
      <c r="B152" s="46" t="s">
        <v>113</v>
      </c>
      <c r="C152" s="85">
        <f>+'[1]BALANZA G'!C34-C153</f>
        <v>0</v>
      </c>
      <c r="D152" s="86">
        <v>13208228.880000001</v>
      </c>
      <c r="E152" s="87">
        <f>+C152-D152</f>
        <v>-13208228.880000001</v>
      </c>
    </row>
    <row r="153" spans="1:26" x14ac:dyDescent="0.25">
      <c r="B153" s="46" t="s">
        <v>114</v>
      </c>
      <c r="C153" s="88">
        <f>+'[1]BALANZA G'!C35</f>
        <v>1350.12</v>
      </c>
      <c r="D153" s="44">
        <f>+'[1]BALANZA G'!D34-D152</f>
        <v>1350.1199999991804</v>
      </c>
      <c r="E153" s="87">
        <f>+C153-D153</f>
        <v>8.1945472629740834E-10</v>
      </c>
    </row>
    <row r="154" spans="1:26" x14ac:dyDescent="0.25">
      <c r="B154" s="89" t="s">
        <v>115</v>
      </c>
      <c r="C154" s="52">
        <f>SUM(C152:C153)</f>
        <v>1350.12</v>
      </c>
      <c r="D154" s="52">
        <f>SUM(D152:D153)</f>
        <v>13209579</v>
      </c>
      <c r="E154" s="52">
        <f>SUM(E152:E153)</f>
        <v>-13208228.880000001</v>
      </c>
      <c r="R154" s="4" t="str">
        <f>+CONCATENATE(S154,",",T154,U154,"")</f>
        <v>1,350.12</v>
      </c>
      <c r="S154" s="4" t="str">
        <f>MID(C154,1,1)</f>
        <v>1</v>
      </c>
      <c r="T154" s="4" t="str">
        <f>MID(C154,2,3)</f>
        <v>350</v>
      </c>
      <c r="U154" s="4" t="str">
        <f>MID(C154,5,3)</f>
        <v>.12</v>
      </c>
      <c r="V154" s="4" t="str">
        <f>MID(C154,9,3)</f>
        <v/>
      </c>
    </row>
    <row r="155" spans="1:26" x14ac:dyDescent="0.25">
      <c r="B155" s="90"/>
      <c r="C155" s="91"/>
      <c r="D155" s="92"/>
      <c r="E155" s="93"/>
      <c r="R155" s="4" t="str">
        <f>+CONCATENATE(S155,",",T155,",",U155,V155,".00")</f>
        <v>13,209,579.00</v>
      </c>
      <c r="S155" s="4" t="str">
        <f>MID(D154,1,2)</f>
        <v>13</v>
      </c>
      <c r="T155" s="4" t="str">
        <f>MID(D154,3,3)</f>
        <v>209</v>
      </c>
      <c r="U155" s="4" t="str">
        <f>MID(D154,6,3)</f>
        <v>579</v>
      </c>
      <c r="V155" s="4" t="str">
        <f>MID(D154,9,3)</f>
        <v/>
      </c>
    </row>
    <row r="156" spans="1:26" s="50" customFormat="1" x14ac:dyDescent="0.25">
      <c r="B156" s="60" t="str">
        <f>("Cambio porcentual con relación al "&amp;$D$117&amp;".")</f>
        <v>Cambio porcentual con relación al 2023.</v>
      </c>
      <c r="C156" s="61"/>
      <c r="D156" s="62" t="str">
        <f>IF(E156&gt;=0,"Aumento","Disminución")</f>
        <v>Disminución</v>
      </c>
      <c r="E156" s="94">
        <f>IFERROR(+E154/D154,0)</f>
        <v>-0.99989779235205001</v>
      </c>
      <c r="J156" s="54"/>
      <c r="N156" s="54"/>
      <c r="R156" s="55"/>
      <c r="S156" s="55"/>
      <c r="T156" s="55"/>
      <c r="U156" s="55"/>
      <c r="V156" s="55"/>
      <c r="W156" s="55"/>
      <c r="X156" s="55"/>
      <c r="Y156" s="55"/>
      <c r="Z156" s="54"/>
    </row>
    <row r="157" spans="1:26" ht="9" customHeight="1" x14ac:dyDescent="0.25">
      <c r="B157" s="84"/>
    </row>
    <row r="158" spans="1:26" ht="61.5" customHeight="1" x14ac:dyDescent="0.25">
      <c r="B158" s="95" t="s">
        <v>116</v>
      </c>
      <c r="C158" s="95"/>
      <c r="D158" s="95"/>
      <c r="E158" s="95"/>
    </row>
    <row r="159" spans="1:26" x14ac:dyDescent="0.25">
      <c r="B159" s="84"/>
    </row>
    <row r="160" spans="1:26" x14ac:dyDescent="0.25">
      <c r="B160" s="67" t="s">
        <v>117</v>
      </c>
      <c r="C160" s="67"/>
      <c r="D160" s="67"/>
      <c r="E160" s="67"/>
    </row>
    <row r="161" spans="2:26" x14ac:dyDescent="0.25">
      <c r="B161" s="67" t="s">
        <v>118</v>
      </c>
      <c r="C161" s="67"/>
      <c r="D161" s="67"/>
      <c r="E161" s="67"/>
    </row>
    <row r="162" spans="2:26" ht="18.75" customHeight="1" x14ac:dyDescent="0.25">
      <c r="B162" s="14" t="str">
        <f>("Un detalle de las "&amp;B161&amp;" al "&amp;[1]BALANZA!$B$3&amp;""&amp;[1]BALANZA!$C$3&amp;" es como se detalla a continuación:")</f>
        <v>Un detalle de las Inventario al 30 de Septiembre del 2024- 2023 es como se detalla a continuación:</v>
      </c>
      <c r="C162" s="37"/>
      <c r="D162" s="37"/>
      <c r="E162" s="37"/>
    </row>
    <row r="163" spans="2:26" ht="36" customHeight="1" x14ac:dyDescent="0.25">
      <c r="B163" s="20" t="str">
        <f>("Los  inventarios están representados por las partidas de materiales en existencia, Para el "&amp;[1]BALANZA!B4&amp;" RD$ "&amp;R168&amp;" y para el "&amp;[1]BALANZA!C4&amp;" RD$ "&amp;R169&amp;", Según el siguiente detalle:")</f>
        <v>Los  inventarios están representados por las partidas de materiales en existencia, Para el 2024 RD$ 21,823,739.64 y para el 2023 RD$ 23,878,010.00, Según el siguiente detalle:</v>
      </c>
      <c r="C163" s="20"/>
      <c r="D163" s="20"/>
      <c r="E163" s="20"/>
    </row>
    <row r="164" spans="2:26" ht="7.5" customHeight="1" x14ac:dyDescent="0.25">
      <c r="B164" s="84"/>
    </row>
    <row r="165" spans="2:26" x14ac:dyDescent="0.25">
      <c r="B165" s="38" t="s">
        <v>94</v>
      </c>
      <c r="C165" s="38">
        <f>+C360</f>
        <v>2024</v>
      </c>
      <c r="D165" s="38">
        <f>+D360</f>
        <v>2023</v>
      </c>
      <c r="E165" s="38" t="s">
        <v>95</v>
      </c>
    </row>
    <row r="166" spans="2:26" hidden="1" x14ac:dyDescent="0.25">
      <c r="B166" s="46" t="s">
        <v>107</v>
      </c>
      <c r="C166" s="88">
        <f>+'[1]BALANZA G'!C40</f>
        <v>0</v>
      </c>
      <c r="D166" s="44">
        <f>+'[1]BALANZA G'!D40</f>
        <v>0</v>
      </c>
      <c r="E166" s="96">
        <f>+C166-D166</f>
        <v>0</v>
      </c>
    </row>
    <row r="167" spans="2:26" ht="30" x14ac:dyDescent="0.25">
      <c r="B167" s="46" t="s">
        <v>119</v>
      </c>
      <c r="C167" s="88">
        <f>+'[1]BALANZA G'!C41</f>
        <v>21823739.640000001</v>
      </c>
      <c r="D167" s="97">
        <f>+'[1]BALANZA G'!D41</f>
        <v>23878010</v>
      </c>
      <c r="E167" s="98">
        <f>+C167-D167</f>
        <v>-2054270.3599999994</v>
      </c>
    </row>
    <row r="168" spans="2:26" x14ac:dyDescent="0.25">
      <c r="B168" s="89" t="s">
        <v>120</v>
      </c>
      <c r="C168" s="52">
        <f>SUM(C166:C167)</f>
        <v>21823739.640000001</v>
      </c>
      <c r="D168" s="99">
        <f>SUM(D166:D167)</f>
        <v>23878010</v>
      </c>
      <c r="E168" s="52">
        <f>SUM(E166:E167)</f>
        <v>-2054270.3599999994</v>
      </c>
      <c r="R168" s="4" t="str">
        <f>+CONCATENATE(S168,",",T168,",",U168,V168,AB168,"")</f>
        <v>21,823,739.64</v>
      </c>
      <c r="S168" s="4" t="str">
        <f>MID(C168,1,2)</f>
        <v>21</v>
      </c>
      <c r="T168" s="4" t="str">
        <f>MID(C168,3,3)</f>
        <v>823</v>
      </c>
      <c r="U168" s="4" t="str">
        <f>MID(C168,6,3)</f>
        <v>739</v>
      </c>
      <c r="V168" s="4" t="str">
        <f>MID(C168,9,3)</f>
        <v>.64</v>
      </c>
    </row>
    <row r="169" spans="2:26" x14ac:dyDescent="0.25">
      <c r="B169" s="90"/>
      <c r="C169" s="100">
        <f>+C168-'[1]ES F '!B15</f>
        <v>0</v>
      </c>
      <c r="D169" s="92"/>
      <c r="E169" s="93"/>
      <c r="R169" s="4" t="str">
        <f>+CONCATENATE(S169,",",T169,",",U169,V169,".00")</f>
        <v>23,878,010.00</v>
      </c>
      <c r="S169" s="4" t="str">
        <f>MID(D168,1,2)</f>
        <v>23</v>
      </c>
      <c r="T169" s="4" t="str">
        <f>MID(D168,3,3)</f>
        <v>878</v>
      </c>
      <c r="U169" s="4" t="str">
        <f>MID(D168,6,3)</f>
        <v>010</v>
      </c>
      <c r="V169" s="4" t="str">
        <f>MID(D168,9,3)</f>
        <v/>
      </c>
    </row>
    <row r="170" spans="2:26" s="50" customFormat="1" x14ac:dyDescent="0.25">
      <c r="B170" s="60" t="str">
        <f>("Cambio porcentual con relación al "&amp;$D$117&amp;".")</f>
        <v>Cambio porcentual con relación al 2023.</v>
      </c>
      <c r="C170" s="61"/>
      <c r="D170" s="62" t="str">
        <f>IF(E170&gt;=0,"Aumento","Disminución")</f>
        <v>Disminución</v>
      </c>
      <c r="E170" s="94">
        <f>IFERROR((+E168/D168),0)</f>
        <v>-8.6031891267320831E-2</v>
      </c>
      <c r="J170" s="54"/>
      <c r="N170" s="54"/>
      <c r="R170" s="55"/>
      <c r="S170" s="55"/>
      <c r="T170" s="55"/>
      <c r="U170" s="55"/>
      <c r="V170" s="55"/>
      <c r="W170" s="55"/>
      <c r="X170" s="55"/>
      <c r="Y170" s="55"/>
      <c r="Z170" s="54"/>
    </row>
    <row r="171" spans="2:26" x14ac:dyDescent="0.25">
      <c r="B171" s="84"/>
    </row>
    <row r="172" spans="2:26" ht="16.5" customHeight="1" x14ac:dyDescent="0.25">
      <c r="B172" s="20"/>
      <c r="C172" s="20"/>
      <c r="D172" s="20"/>
      <c r="E172" s="20"/>
    </row>
    <row r="173" spans="2:26" ht="16.5" customHeight="1" x14ac:dyDescent="0.25">
      <c r="B173" s="16"/>
      <c r="C173" s="16"/>
      <c r="D173" s="16"/>
      <c r="E173" s="16"/>
    </row>
    <row r="174" spans="2:26" ht="16.5" customHeight="1" x14ac:dyDescent="0.25">
      <c r="B174" s="16"/>
      <c r="C174" s="16"/>
      <c r="D174" s="16"/>
      <c r="E174" s="16"/>
    </row>
    <row r="175" spans="2:26" ht="16.5" customHeight="1" x14ac:dyDescent="0.25">
      <c r="B175" s="16"/>
      <c r="C175" s="16"/>
      <c r="D175" s="16"/>
      <c r="E175" s="16"/>
    </row>
    <row r="176" spans="2:26" ht="16.5" customHeight="1" x14ac:dyDescent="0.25">
      <c r="B176" s="68" t="s">
        <v>121</v>
      </c>
      <c r="C176" s="16"/>
      <c r="D176" s="36"/>
      <c r="E176" s="16"/>
    </row>
    <row r="177" spans="2:26" ht="16.5" customHeight="1" x14ac:dyDescent="0.25">
      <c r="B177" s="68" t="s">
        <v>122</v>
      </c>
      <c r="C177" s="16"/>
      <c r="D177" s="36"/>
      <c r="E177" s="16"/>
    </row>
    <row r="178" spans="2:26" ht="27.75" customHeight="1" x14ac:dyDescent="0.25">
      <c r="B178" s="14" t="str">
        <f>("Un detalle del "&amp;B177&amp;" al "&amp;[1]BALANZA!$B$3&amp;" "&amp;[1]BALANZA!$C$3&amp;" es como se detalla a continuación:")</f>
        <v>Un detalle del Pagos anticipados al 30 de Septiembre del 2024 - 2023 es como se detalla a continuación:</v>
      </c>
      <c r="C178" s="37"/>
      <c r="D178" s="37"/>
      <c r="E178" s="37"/>
    </row>
    <row r="179" spans="2:26" ht="41.25" customHeight="1" x14ac:dyDescent="0.25">
      <c r="B179" s="20" t="str">
        <f>("Los  pagos anticipados están representados por las partidas de seguros pagados por adelantado, Para el "&amp;[1]BALANZA!B4&amp;" el monto ascendio  a RD$ "&amp;R187&amp;" y para el "&amp;[1]BALANZA!C4&amp;" el monto era RD$ "&amp;R188&amp;", Según el siguiente detalle:")</f>
        <v>Los  pagos anticipados están representados por las partidas de seguros pagados por adelantado, Para el 2024 el monto ascendio  a RD$ 600,396.96 y para el 2023 el monto era RD$ 373,212.74, Según el siguiente detalle:</v>
      </c>
      <c r="C179" s="20"/>
      <c r="D179" s="20"/>
      <c r="E179" s="20"/>
    </row>
    <row r="180" spans="2:26" x14ac:dyDescent="0.25">
      <c r="B180" s="84"/>
    </row>
    <row r="181" spans="2:26" x14ac:dyDescent="0.25">
      <c r="B181" s="38" t="s">
        <v>94</v>
      </c>
      <c r="C181" s="41">
        <f>+C165</f>
        <v>2024</v>
      </c>
      <c r="D181" s="41">
        <f>+D165</f>
        <v>2023</v>
      </c>
      <c r="E181" s="38" t="s">
        <v>95</v>
      </c>
    </row>
    <row r="182" spans="2:26" ht="15" customHeight="1" x14ac:dyDescent="0.25">
      <c r="B182" s="46" t="s">
        <v>123</v>
      </c>
      <c r="C182" s="88">
        <f>+D186</f>
        <v>373212.74</v>
      </c>
      <c r="D182" s="44">
        <f>+D186-D184-D183</f>
        <v>628548.76</v>
      </c>
      <c r="E182" s="87">
        <f>+C182-D182</f>
        <v>-255336.02000000002</v>
      </c>
    </row>
    <row r="183" spans="2:26" ht="15" customHeight="1" x14ac:dyDescent="0.25">
      <c r="B183" s="46" t="s">
        <v>124</v>
      </c>
      <c r="C183" s="101">
        <f>+C186-C182-C184</f>
        <v>661172.98</v>
      </c>
      <c r="D183" s="44">
        <f>205890.43+32007.08</f>
        <v>237897.51</v>
      </c>
      <c r="E183" s="87">
        <f>+C183-D183</f>
        <v>423275.47</v>
      </c>
    </row>
    <row r="184" spans="2:26" ht="15" customHeight="1" x14ac:dyDescent="0.25">
      <c r="B184" s="46" t="s">
        <v>125</v>
      </c>
      <c r="C184" s="102">
        <f>-'[1]Notas NF'!C601</f>
        <v>-433988.76</v>
      </c>
      <c r="D184" s="102">
        <f>-'[1]Notas NF'!D601</f>
        <v>-493233.52999999997</v>
      </c>
      <c r="E184" s="87">
        <f>+C184-D184</f>
        <v>59244.76999999996</v>
      </c>
      <c r="U184" s="103"/>
    </row>
    <row r="185" spans="2:26" ht="15" customHeight="1" x14ac:dyDescent="0.25">
      <c r="B185" s="46"/>
      <c r="C185" s="88"/>
      <c r="D185" s="88"/>
      <c r="E185" s="87"/>
    </row>
    <row r="186" spans="2:26" x14ac:dyDescent="0.25">
      <c r="B186" s="46" t="s">
        <v>126</v>
      </c>
      <c r="C186" s="88">
        <f>+'[1]BALANZA G'!C48</f>
        <v>600396.96</v>
      </c>
      <c r="D186" s="97">
        <f>+'[1]BALANZA G'!D48</f>
        <v>373212.74</v>
      </c>
      <c r="E186" s="87">
        <f>+C186-D186</f>
        <v>227184.21999999997</v>
      </c>
    </row>
    <row r="187" spans="2:26" x14ac:dyDescent="0.25">
      <c r="B187" s="89" t="s">
        <v>127</v>
      </c>
      <c r="C187" s="52">
        <f>SUM(C186:C186)</f>
        <v>600396.96</v>
      </c>
      <c r="D187" s="52">
        <f>SUM(D186:D186)</f>
        <v>373212.74</v>
      </c>
      <c r="E187" s="104">
        <f>+C187-D187</f>
        <v>227184.21999999997</v>
      </c>
      <c r="R187" s="4" t="str">
        <f>+CONCATENATE(S187,",",T187,U187,"")</f>
        <v>600,396.96</v>
      </c>
      <c r="S187" s="4" t="str">
        <f>MID(C187,1,3)</f>
        <v>600</v>
      </c>
      <c r="T187" s="4" t="str">
        <f>MID(C187,4,3)</f>
        <v>396</v>
      </c>
      <c r="U187" s="4" t="str">
        <f>MID(C187,7,3)</f>
        <v>.96</v>
      </c>
    </row>
    <row r="188" spans="2:26" x14ac:dyDescent="0.25">
      <c r="B188" s="105"/>
      <c r="C188" s="106">
        <f>+C187-'[1]ES F '!B16</f>
        <v>0</v>
      </c>
      <c r="D188" s="107"/>
      <c r="E188" s="108"/>
      <c r="R188" s="4" t="str">
        <f>+CONCATENATE(S188,",",T188,U188)</f>
        <v>373,212.74</v>
      </c>
      <c r="S188" s="4" t="str">
        <f>MID(D187,1,3)</f>
        <v>373</v>
      </c>
      <c r="T188" s="4" t="str">
        <f>MID(D187,4,3)</f>
        <v>212</v>
      </c>
      <c r="U188" s="4" t="str">
        <f>MID(D187,7,3)</f>
        <v>.74</v>
      </c>
    </row>
    <row r="189" spans="2:26" s="50" customFormat="1" x14ac:dyDescent="0.25">
      <c r="B189" s="60" t="str">
        <f>("Cambio porcentual con relación al "&amp;$D$117&amp;".")</f>
        <v>Cambio porcentual con relación al 2023.</v>
      </c>
      <c r="C189" s="61"/>
      <c r="D189" s="62" t="str">
        <f>IF(E189&gt;=0,"Aumento","Disminución")</f>
        <v>Aumento</v>
      </c>
      <c r="E189" s="94">
        <f>IFERROR((+E187/D187),0)</f>
        <v>0.60872579001456373</v>
      </c>
      <c r="J189" s="54"/>
      <c r="N189" s="54"/>
      <c r="R189" s="55"/>
      <c r="S189" s="55"/>
      <c r="T189" s="55"/>
      <c r="U189" s="55"/>
      <c r="V189" s="55"/>
      <c r="W189" s="55"/>
      <c r="X189" s="55"/>
      <c r="Y189" s="55"/>
      <c r="Z189" s="54"/>
    </row>
    <row r="190" spans="2:26" ht="16.5" customHeight="1" x14ac:dyDescent="0.25">
      <c r="B190" s="68"/>
      <c r="C190" s="16"/>
      <c r="D190" s="36"/>
      <c r="E190" s="16"/>
    </row>
    <row r="191" spans="2:26" ht="16.5" customHeight="1" x14ac:dyDescent="0.25">
      <c r="B191" s="68"/>
      <c r="C191" s="109"/>
      <c r="D191" s="36"/>
      <c r="E191" s="16"/>
    </row>
    <row r="192" spans="2:26" ht="14.25" customHeight="1" x14ac:dyDescent="0.25">
      <c r="B192" s="68" t="s">
        <v>128</v>
      </c>
      <c r="C192" s="109"/>
      <c r="D192" s="36"/>
      <c r="E192" s="16"/>
    </row>
    <row r="193" spans="2:26" x14ac:dyDescent="0.25">
      <c r="B193" s="68" t="s">
        <v>129</v>
      </c>
    </row>
    <row r="194" spans="2:26" ht="28.5" customHeight="1" x14ac:dyDescent="0.25">
      <c r="B194" s="14" t="str">
        <f>("Un detalle de "&amp;B193&amp;" al "&amp;[1]BALANZA!$B$3&amp;" "&amp;[1]BALANZA!$C$3&amp;" es como se detalla a continuación:")</f>
        <v>Un detalle de Otros activos corrientes al 30 de Septiembre del 2024 - 2023 es como se detalla a continuación:</v>
      </c>
      <c r="C194" s="37"/>
      <c r="D194" s="37"/>
      <c r="E194" s="37"/>
    </row>
    <row r="195" spans="2:26" ht="49.5" customHeight="1" x14ac:dyDescent="0.25">
      <c r="B195" s="20" t="str">
        <f>("Los depósitos o fianzas por los alquileres de locales de CORAAMOCA, vigentes, están registrado en el Estado de Balance General, dentro  de la partida de otros activos, en  periodos "&amp;[1]BALANZA!B4&amp;" el valor estaba en RD$ "&amp;R212&amp;".  Según detalles:")</f>
        <v>Los depósitos o fianzas por los alquileres de locales de CORAAMOCA, vigentes, están registrado en el Estado de Balance General, dentro  de la partida de otros activos, en  periodos 2024 el valor estaba en RD$ 193,172.00.  Según detalles:</v>
      </c>
      <c r="C195" s="20"/>
      <c r="D195" s="20"/>
      <c r="E195" s="20"/>
    </row>
    <row r="196" spans="2:26" ht="14.25" customHeight="1" x14ac:dyDescent="0.25">
      <c r="B196" s="110"/>
    </row>
    <row r="197" spans="2:26" s="111" customFormat="1" ht="19.5" hidden="1" customHeight="1" x14ac:dyDescent="0.25">
      <c r="B197" s="38" t="s">
        <v>130</v>
      </c>
      <c r="C197" s="38" t="s">
        <v>131</v>
      </c>
      <c r="D197" s="112" t="s">
        <v>132</v>
      </c>
      <c r="E197" s="39" t="s">
        <v>133</v>
      </c>
      <c r="J197" s="113"/>
      <c r="N197" s="113"/>
      <c r="R197" s="114"/>
      <c r="S197" s="114"/>
      <c r="T197" s="114"/>
      <c r="U197" s="114"/>
      <c r="V197" s="114"/>
      <c r="W197" s="114"/>
      <c r="X197" s="114"/>
      <c r="Y197" s="114"/>
      <c r="Z197" s="113"/>
    </row>
    <row r="198" spans="2:26" hidden="1" x14ac:dyDescent="0.25">
      <c r="B198" s="115" t="s">
        <v>134</v>
      </c>
      <c r="C198" s="116" t="s">
        <v>135</v>
      </c>
      <c r="D198" s="117">
        <v>12000</v>
      </c>
      <c r="E198" s="118">
        <f>+D198</f>
        <v>12000</v>
      </c>
    </row>
    <row r="199" spans="2:26" hidden="1" x14ac:dyDescent="0.25">
      <c r="B199" s="115" t="s">
        <v>136</v>
      </c>
      <c r="C199" s="116" t="s">
        <v>137</v>
      </c>
      <c r="D199" s="117">
        <v>21000</v>
      </c>
      <c r="E199" s="118">
        <f t="shared" ref="E199:E206" si="1">+D199</f>
        <v>21000</v>
      </c>
    </row>
    <row r="200" spans="2:26" hidden="1" x14ac:dyDescent="0.25">
      <c r="B200" s="115" t="s">
        <v>138</v>
      </c>
      <c r="C200" s="116" t="s">
        <v>139</v>
      </c>
      <c r="D200" s="117">
        <v>28500</v>
      </c>
      <c r="E200" s="118">
        <f t="shared" si="1"/>
        <v>28500</v>
      </c>
    </row>
    <row r="201" spans="2:26" hidden="1" x14ac:dyDescent="0.25">
      <c r="B201" s="115" t="s">
        <v>140</v>
      </c>
      <c r="C201" s="116" t="s">
        <v>141</v>
      </c>
      <c r="D201" s="117">
        <v>33336</v>
      </c>
      <c r="E201" s="118">
        <f t="shared" si="1"/>
        <v>33336</v>
      </c>
    </row>
    <row r="202" spans="2:26" hidden="1" x14ac:dyDescent="0.25">
      <c r="B202" s="119" t="s">
        <v>142</v>
      </c>
      <c r="C202" s="120" t="s">
        <v>143</v>
      </c>
      <c r="D202" s="121">
        <v>20000</v>
      </c>
      <c r="E202" s="118">
        <f t="shared" si="1"/>
        <v>20000</v>
      </c>
    </row>
    <row r="203" spans="2:26" hidden="1" x14ac:dyDescent="0.25">
      <c r="B203" s="119" t="s">
        <v>144</v>
      </c>
      <c r="C203" s="120" t="s">
        <v>145</v>
      </c>
      <c r="D203" s="121">
        <v>18000</v>
      </c>
      <c r="E203" s="118">
        <f t="shared" si="1"/>
        <v>18000</v>
      </c>
    </row>
    <row r="204" spans="2:26" hidden="1" x14ac:dyDescent="0.25">
      <c r="B204" s="119" t="s">
        <v>146</v>
      </c>
      <c r="C204" s="120" t="s">
        <v>147</v>
      </c>
      <c r="D204" s="121">
        <v>33336</v>
      </c>
      <c r="E204" s="118">
        <f t="shared" si="1"/>
        <v>33336</v>
      </c>
    </row>
    <row r="205" spans="2:26" hidden="1" x14ac:dyDescent="0.25">
      <c r="B205" s="119" t="s">
        <v>148</v>
      </c>
      <c r="C205" s="120" t="s">
        <v>149</v>
      </c>
      <c r="D205" s="121">
        <v>27000</v>
      </c>
      <c r="E205" s="118">
        <v>27000</v>
      </c>
    </row>
    <row r="206" spans="2:26" hidden="1" x14ac:dyDescent="0.25">
      <c r="B206" s="119"/>
      <c r="C206" s="120"/>
      <c r="D206" s="121"/>
      <c r="E206" s="118">
        <f t="shared" si="1"/>
        <v>0</v>
      </c>
    </row>
    <row r="207" spans="2:26" hidden="1" x14ac:dyDescent="0.25">
      <c r="B207" s="122" t="s">
        <v>150</v>
      </c>
      <c r="C207" s="122"/>
      <c r="D207" s="123"/>
      <c r="E207" s="124">
        <f>SUM(E198:E206)</f>
        <v>193172</v>
      </c>
    </row>
    <row r="208" spans="2:26" hidden="1" x14ac:dyDescent="0.25">
      <c r="B208" s="125"/>
      <c r="C208" s="125"/>
      <c r="D208" s="126"/>
      <c r="E208" s="91">
        <f>+E207-'[1]ES F '!B17</f>
        <v>0</v>
      </c>
    </row>
    <row r="209" spans="2:26" ht="26.25" customHeight="1" x14ac:dyDescent="0.25">
      <c r="B209" s="38" t="s">
        <v>94</v>
      </c>
      <c r="C209" s="38">
        <f>+C151</f>
        <v>2024</v>
      </c>
      <c r="D209" s="38">
        <f>+D151</f>
        <v>2023</v>
      </c>
      <c r="E209" s="38" t="s">
        <v>95</v>
      </c>
    </row>
    <row r="210" spans="2:26" ht="15.75" hidden="1" customHeight="1" x14ac:dyDescent="0.25">
      <c r="B210" s="46" t="s">
        <v>107</v>
      </c>
      <c r="C210" s="88">
        <v>0</v>
      </c>
      <c r="D210" s="44">
        <v>0</v>
      </c>
      <c r="E210" s="96">
        <f>+C210-D210</f>
        <v>0</v>
      </c>
    </row>
    <row r="211" spans="2:26" x14ac:dyDescent="0.25">
      <c r="B211" s="46" t="s">
        <v>151</v>
      </c>
      <c r="C211" s="97">
        <f>+E207</f>
        <v>193172</v>
      </c>
      <c r="D211" s="97">
        <f>+E207+10500-18000+13500-6000</f>
        <v>193172</v>
      </c>
      <c r="E211" s="3">
        <f>+C211-D211</f>
        <v>0</v>
      </c>
    </row>
    <row r="212" spans="2:26" s="127" customFormat="1" x14ac:dyDescent="0.25">
      <c r="B212" s="76" t="s">
        <v>152</v>
      </c>
      <c r="C212" s="77">
        <f>SUM(C210:C211)</f>
        <v>193172</v>
      </c>
      <c r="D212" s="77">
        <f>SUM(D210:D211)</f>
        <v>193172</v>
      </c>
      <c r="E212" s="77">
        <f>SUM(E210:E211)</f>
        <v>0</v>
      </c>
      <c r="J212" s="128"/>
      <c r="N212" s="128"/>
      <c r="R212" s="4" t="str">
        <f>+CONCATENATE(S212,",",T212,".00")</f>
        <v>193,172.00</v>
      </c>
      <c r="S212" s="4" t="str">
        <f>MID(C212,1,3)</f>
        <v>193</v>
      </c>
      <c r="T212" s="4" t="str">
        <f>MID(C212,4,3)</f>
        <v>172</v>
      </c>
      <c r="U212" s="4" t="str">
        <f>MID(C212,7,3)</f>
        <v/>
      </c>
      <c r="V212" s="4" t="str">
        <f>MID(C212,9,3)</f>
        <v/>
      </c>
      <c r="W212" s="129"/>
      <c r="X212" s="129"/>
      <c r="Y212" s="129"/>
      <c r="Z212" s="128"/>
    </row>
    <row r="213" spans="2:26" s="127" customFormat="1" x14ac:dyDescent="0.25">
      <c r="B213" s="130"/>
      <c r="C213" s="131">
        <f>+C212-'[1]ES F '!B17</f>
        <v>0</v>
      </c>
      <c r="D213" s="132">
        <f>+D212-'[1]ES F '!C17</f>
        <v>0</v>
      </c>
      <c r="E213" s="131"/>
      <c r="J213" s="128"/>
      <c r="N213" s="128"/>
      <c r="R213" s="4" t="str">
        <f>+CONCATENATE(S213,",",T213,".00")</f>
        <v>193,172.00</v>
      </c>
      <c r="S213" s="4" t="str">
        <f>MID(D212,1,3)</f>
        <v>193</v>
      </c>
      <c r="T213" s="4" t="str">
        <f>MID(D212,4,3)</f>
        <v>172</v>
      </c>
      <c r="U213" s="4" t="str">
        <f>MID(D212,7,3)</f>
        <v/>
      </c>
      <c r="V213" s="4" t="str">
        <f>MID(D212,8,3)</f>
        <v/>
      </c>
      <c r="W213" s="129"/>
      <c r="X213" s="129"/>
      <c r="Y213" s="129"/>
      <c r="Z213" s="128"/>
    </row>
    <row r="214" spans="2:26" s="133" customFormat="1" x14ac:dyDescent="0.25">
      <c r="B214" s="60" t="str">
        <f>("Cambio porcentual con relación al "&amp;$D$117&amp;".")</f>
        <v>Cambio porcentual con relación al 2023.</v>
      </c>
      <c r="C214" s="61"/>
      <c r="D214" s="134" t="str">
        <f>IF(E214&gt;=0,"Aumento","Disminución")</f>
        <v>Aumento</v>
      </c>
      <c r="E214" s="135">
        <f>IFERROR((+E212/D212),0)</f>
        <v>0</v>
      </c>
      <c r="J214" s="136"/>
      <c r="N214" s="136"/>
      <c r="R214" s="137"/>
      <c r="S214" s="137"/>
      <c r="T214" s="137"/>
      <c r="U214" s="137"/>
      <c r="V214" s="137"/>
      <c r="W214" s="137"/>
      <c r="X214" s="137"/>
      <c r="Y214" s="137"/>
      <c r="Z214" s="136"/>
    </row>
    <row r="215" spans="2:26" s="133" customFormat="1" x14ac:dyDescent="0.25">
      <c r="B215" s="138"/>
      <c r="C215" s="138"/>
      <c r="D215" s="139"/>
      <c r="E215" s="140"/>
      <c r="J215" s="136"/>
      <c r="N215" s="136"/>
      <c r="R215" s="137"/>
      <c r="S215" s="137"/>
      <c r="T215" s="137"/>
      <c r="U215" s="137"/>
      <c r="V215" s="137"/>
      <c r="W215" s="137"/>
      <c r="X215" s="137"/>
      <c r="Y215" s="137"/>
      <c r="Z215" s="136"/>
    </row>
    <row r="216" spans="2:26" x14ac:dyDescent="0.25">
      <c r="B216" s="11"/>
    </row>
    <row r="217" spans="2:26" x14ac:dyDescent="0.25">
      <c r="B217" s="11"/>
    </row>
    <row r="218" spans="2:26" x14ac:dyDescent="0.25">
      <c r="B218" s="11"/>
    </row>
    <row r="219" spans="2:26" x14ac:dyDescent="0.25">
      <c r="B219" s="11"/>
    </row>
    <row r="220" spans="2:26" x14ac:dyDescent="0.25">
      <c r="B220" s="11"/>
    </row>
    <row r="221" spans="2:26" x14ac:dyDescent="0.25">
      <c r="B221" s="11"/>
    </row>
    <row r="222" spans="2:26" x14ac:dyDescent="0.25">
      <c r="B222" s="11"/>
    </row>
    <row r="223" spans="2:26" x14ac:dyDescent="0.25">
      <c r="B223" s="11"/>
    </row>
    <row r="224" spans="2:26" x14ac:dyDescent="0.25">
      <c r="B224" s="11"/>
    </row>
    <row r="225" spans="2:5" x14ac:dyDescent="0.25">
      <c r="B225" s="11"/>
    </row>
    <row r="226" spans="2:5" x14ac:dyDescent="0.25">
      <c r="B226" s="11"/>
    </row>
    <row r="227" spans="2:5" x14ac:dyDescent="0.25">
      <c r="B227" s="11"/>
    </row>
    <row r="228" spans="2:5" x14ac:dyDescent="0.25">
      <c r="B228" s="11"/>
    </row>
    <row r="229" spans="2:5" x14ac:dyDescent="0.25">
      <c r="B229" s="11"/>
    </row>
    <row r="230" spans="2:5" x14ac:dyDescent="0.25">
      <c r="B230" s="11"/>
    </row>
    <row r="231" spans="2:5" x14ac:dyDescent="0.25">
      <c r="B231" s="11"/>
    </row>
    <row r="232" spans="2:5" x14ac:dyDescent="0.25">
      <c r="B232" s="11"/>
    </row>
    <row r="233" spans="2:5" x14ac:dyDescent="0.25">
      <c r="B233" s="11" t="s">
        <v>153</v>
      </c>
    </row>
    <row r="234" spans="2:5" ht="19.5" customHeight="1" x14ac:dyDescent="0.25">
      <c r="B234" s="12" t="s">
        <v>154</v>
      </c>
      <c r="C234" s="12"/>
      <c r="D234" s="12"/>
      <c r="E234" s="12"/>
    </row>
    <row r="235" spans="2:5" ht="19.5" customHeight="1" x14ac:dyDescent="0.25">
      <c r="B235" s="14" t="str">
        <f>("Un detalle de "&amp;B234&amp;" al "&amp;[1]BALANZA!$B$3&amp;" "&amp;[1]BALANZA!$C$3&amp;" es como se detalla a continuación:")</f>
        <v>Un detalle de Propiedad planta y equipo al 30 de Septiembre del 2024 - 2023 es como se detalla a continuación:</v>
      </c>
      <c r="C235" s="37"/>
      <c r="D235" s="37"/>
      <c r="E235" s="37"/>
    </row>
    <row r="236" spans="2:5" ht="19.5" customHeight="1" x14ac:dyDescent="0.25">
      <c r="B236" s="20" t="s">
        <v>155</v>
      </c>
      <c r="C236" s="20"/>
      <c r="D236" s="20"/>
      <c r="E236" s="20"/>
    </row>
    <row r="237" spans="2:5" ht="91.5" customHeight="1" x14ac:dyDescent="0.25">
      <c r="B237" s="29" t="s">
        <v>156</v>
      </c>
      <c r="C237" s="29"/>
      <c r="D237" s="29"/>
      <c r="E237" s="29"/>
    </row>
    <row r="238" spans="2:5" x14ac:dyDescent="0.25">
      <c r="B238" s="13" t="str">
        <f>+B234</f>
        <v>Propiedad planta y equipo</v>
      </c>
      <c r="C238" s="10" t="s">
        <v>157</v>
      </c>
      <c r="D238" s="15"/>
    </row>
    <row r="239" spans="2:5" hidden="1" x14ac:dyDescent="0.25">
      <c r="B239" s="141" t="s">
        <v>158</v>
      </c>
      <c r="C239" s="141">
        <f>+[1]BALANZA!B4</f>
        <v>2024</v>
      </c>
      <c r="D239" s="142">
        <f>+[1]BALANZA!C4</f>
        <v>2023</v>
      </c>
      <c r="E239" s="143" t="s">
        <v>95</v>
      </c>
    </row>
    <row r="240" spans="2:5" hidden="1" x14ac:dyDescent="0.25">
      <c r="B240" s="144" t="s">
        <v>159</v>
      </c>
      <c r="C240" s="145"/>
      <c r="D240" s="146"/>
      <c r="E240" s="147"/>
    </row>
    <row r="241" spans="2:7" ht="20.25" hidden="1" customHeight="1" x14ac:dyDescent="0.25">
      <c r="B241" s="119" t="s">
        <v>160</v>
      </c>
      <c r="C241" s="145"/>
      <c r="D241" s="146"/>
      <c r="E241" s="147"/>
    </row>
    <row r="242" spans="2:7" ht="20.25" hidden="1" customHeight="1" x14ac:dyDescent="0.25">
      <c r="B242" s="68" t="s">
        <v>161</v>
      </c>
      <c r="C242" s="88">
        <f>+D242+D243</f>
        <v>27808637.940000001</v>
      </c>
      <c r="D242" s="148">
        <f>+'[1]BALANZA G'!D70+'[1]BALANZA G'!D59-D243</f>
        <v>24631937.940000001</v>
      </c>
      <c r="E242" s="87">
        <f>+C242-D242</f>
        <v>3176700</v>
      </c>
    </row>
    <row r="243" spans="2:7" ht="20.25" hidden="1" customHeight="1" x14ac:dyDescent="0.25">
      <c r="B243" s="119" t="s">
        <v>162</v>
      </c>
      <c r="C243" s="88">
        <f>+'[1]BALANZA G'!C70-'[1]BALANZA G'!D70+'[1]BALANZA G'!C59+'[1]BALANZA G'!C72-E242</f>
        <v>1955004.2000000002</v>
      </c>
      <c r="D243" s="149">
        <v>3176700</v>
      </c>
      <c r="E243" s="87">
        <f>+C243-D243</f>
        <v>-1221695.7999999998</v>
      </c>
    </row>
    <row r="244" spans="2:7" ht="20.25" hidden="1" customHeight="1" x14ac:dyDescent="0.25">
      <c r="B244" s="119" t="s">
        <v>163</v>
      </c>
      <c r="C244" s="88"/>
      <c r="D244" s="148"/>
      <c r="E244" s="87">
        <f>+C244-D244</f>
        <v>0</v>
      </c>
    </row>
    <row r="245" spans="2:7" ht="20.25" hidden="1" customHeight="1" x14ac:dyDescent="0.25">
      <c r="B245" s="119" t="s">
        <v>164</v>
      </c>
      <c r="C245" s="88">
        <f>-[1]nota13!F28</f>
        <v>-24689545.350000001</v>
      </c>
      <c r="D245" s="148"/>
      <c r="E245" s="87"/>
    </row>
    <row r="246" spans="2:7" ht="20.25" hidden="1" customHeight="1" x14ac:dyDescent="0.25">
      <c r="B246" s="119" t="s">
        <v>165</v>
      </c>
      <c r="C246" s="88">
        <f>-[1]nota13!F29</f>
        <v>-780111.56999999832</v>
      </c>
      <c r="D246" s="148"/>
      <c r="E246" s="87"/>
    </row>
    <row r="247" spans="2:7" hidden="1" x14ac:dyDescent="0.25">
      <c r="B247" s="150" t="s">
        <v>166</v>
      </c>
      <c r="C247" s="151">
        <f>SUM(C242:C246)</f>
        <v>4293985.2200000007</v>
      </c>
      <c r="D247" s="152">
        <f>SUM(D240:D244)</f>
        <v>27808637.940000001</v>
      </c>
      <c r="E247" s="151">
        <f>SUM(E240:E244)</f>
        <v>1955004.2000000002</v>
      </c>
    </row>
    <row r="248" spans="2:7" ht="28.5" hidden="1" x14ac:dyDescent="0.25">
      <c r="B248" s="150" t="s">
        <v>167</v>
      </c>
      <c r="C248" s="153">
        <v>0</v>
      </c>
      <c r="D248" s="154">
        <v>0</v>
      </c>
      <c r="E248" s="155">
        <f>+C248-D248</f>
        <v>0</v>
      </c>
    </row>
    <row r="249" spans="2:7" ht="28.5" hidden="1" x14ac:dyDescent="0.25">
      <c r="B249" s="150" t="s">
        <v>168</v>
      </c>
      <c r="C249" s="151">
        <f>+C247-C248</f>
        <v>4293985.2200000007</v>
      </c>
      <c r="D249" s="152">
        <f>+D247-D248</f>
        <v>27808637.940000001</v>
      </c>
      <c r="E249" s="151">
        <f>+E247-E248</f>
        <v>1955004.2000000002</v>
      </c>
    </row>
    <row r="250" spans="2:7" ht="23.25" hidden="1" customHeight="1" x14ac:dyDescent="0.25">
      <c r="B250" s="144" t="s">
        <v>169</v>
      </c>
      <c r="C250" s="156"/>
      <c r="D250" s="157"/>
      <c r="E250" s="158"/>
    </row>
    <row r="251" spans="2:7" hidden="1" x14ac:dyDescent="0.25">
      <c r="B251" s="119" t="str">
        <f>+B242</f>
        <v xml:space="preserve">Costos de adquisición  </v>
      </c>
      <c r="C251" s="88">
        <f>+'[1]BALANZA G'!C62</f>
        <v>52883325.560000002</v>
      </c>
      <c r="D251" s="148">
        <f>+'[1]BALANZA G'!D62</f>
        <v>48572302.979999997</v>
      </c>
      <c r="E251" s="87">
        <f>+C251-D251</f>
        <v>4311022.5800000057</v>
      </c>
      <c r="G251" s="2" t="s">
        <v>112</v>
      </c>
    </row>
    <row r="252" spans="2:7" hidden="1" x14ac:dyDescent="0.25">
      <c r="B252" s="119" t="str">
        <f>+B243</f>
        <v>Adiciones</v>
      </c>
      <c r="C252" s="88"/>
      <c r="D252" s="148">
        <f>+'[1]BALANZA G'!F62</f>
        <v>38171024.979999997</v>
      </c>
      <c r="E252" s="87">
        <f>+C252-D252</f>
        <v>-38171024.979999997</v>
      </c>
    </row>
    <row r="253" spans="2:7" hidden="1" x14ac:dyDescent="0.25">
      <c r="B253" s="119" t="str">
        <f>+B244</f>
        <v>Retiros</v>
      </c>
      <c r="C253" s="88"/>
      <c r="D253" s="148"/>
      <c r="E253" s="87">
        <f>+C253-D253</f>
        <v>0</v>
      </c>
    </row>
    <row r="254" spans="2:7" hidden="1" x14ac:dyDescent="0.25">
      <c r="B254" s="119" t="str">
        <f>+B245</f>
        <v>Depreciación Acumulada</v>
      </c>
      <c r="C254" s="88">
        <f>-[1]nota13!I28</f>
        <v>-34810179.979999997</v>
      </c>
      <c r="D254" s="148"/>
      <c r="E254" s="87"/>
    </row>
    <row r="255" spans="2:7" hidden="1" x14ac:dyDescent="0.25">
      <c r="B255" s="119" t="str">
        <f>+B246</f>
        <v>Depreciación del periodo</v>
      </c>
      <c r="C255" s="88">
        <f>-[1]nota13!I29</f>
        <v>-1668929.1400000006</v>
      </c>
      <c r="D255" s="148"/>
      <c r="E255" s="87"/>
    </row>
    <row r="256" spans="2:7" ht="28.5" hidden="1" x14ac:dyDescent="0.25">
      <c r="B256" s="159" t="s">
        <v>170</v>
      </c>
      <c r="C256" s="151">
        <f>SUM(C251:C255)</f>
        <v>16404216.440000005</v>
      </c>
      <c r="D256" s="152">
        <f>SUM(D251:D253)</f>
        <v>86743327.959999993</v>
      </c>
      <c r="E256" s="151">
        <f>SUM(E251:E253)</f>
        <v>-33860002.399999991</v>
      </c>
    </row>
    <row r="257" spans="2:5" ht="28.5" hidden="1" x14ac:dyDescent="0.25">
      <c r="B257" s="150" t="s">
        <v>171</v>
      </c>
      <c r="C257" s="153">
        <v>0</v>
      </c>
      <c r="D257" s="154">
        <v>0</v>
      </c>
      <c r="E257" s="155">
        <f>+C257-D257</f>
        <v>0</v>
      </c>
    </row>
    <row r="258" spans="2:5" ht="42.75" hidden="1" x14ac:dyDescent="0.25">
      <c r="B258" s="150" t="s">
        <v>172</v>
      </c>
      <c r="C258" s="151">
        <f>+C256-C257</f>
        <v>16404216.440000005</v>
      </c>
      <c r="D258" s="152">
        <f>+D256-D257</f>
        <v>86743327.959999993</v>
      </c>
      <c r="E258" s="151">
        <f>+E256-E257</f>
        <v>-33860002.399999991</v>
      </c>
    </row>
    <row r="259" spans="2:5" ht="26.25" hidden="1" customHeight="1" x14ac:dyDescent="0.25">
      <c r="B259" s="160" t="s">
        <v>173</v>
      </c>
      <c r="C259" s="156"/>
      <c r="D259" s="157"/>
      <c r="E259" s="158"/>
    </row>
    <row r="260" spans="2:5" hidden="1" x14ac:dyDescent="0.25">
      <c r="B260" s="119" t="str">
        <f>+B251</f>
        <v xml:space="preserve">Costos de adquisición  </v>
      </c>
      <c r="C260" s="88">
        <f>+'[1]BALANZA G'!C66</f>
        <v>396650</v>
      </c>
      <c r="D260" s="148">
        <f>+'[1]BALANZA G'!D66-D261</f>
        <v>321750</v>
      </c>
      <c r="E260" s="87">
        <f>+C260-D260</f>
        <v>74900</v>
      </c>
    </row>
    <row r="261" spans="2:5" hidden="1" x14ac:dyDescent="0.25">
      <c r="B261" s="119" t="str">
        <f>+B252</f>
        <v>Adiciones</v>
      </c>
      <c r="C261" s="88"/>
      <c r="D261" s="148">
        <f>+'[1]BALANZA G'!F66</f>
        <v>74900</v>
      </c>
      <c r="E261" s="87">
        <f>+C261-D261</f>
        <v>-74900</v>
      </c>
    </row>
    <row r="262" spans="2:5" hidden="1" x14ac:dyDescent="0.25">
      <c r="B262" s="119" t="str">
        <f>+B253</f>
        <v>Retiros</v>
      </c>
      <c r="C262" s="88"/>
      <c r="D262" s="148"/>
      <c r="E262" s="87">
        <f>+C262-D262</f>
        <v>0</v>
      </c>
    </row>
    <row r="263" spans="2:5" hidden="1" x14ac:dyDescent="0.25">
      <c r="B263" s="119" t="str">
        <f>+B254</f>
        <v>Depreciación Acumulada</v>
      </c>
      <c r="C263" s="88"/>
      <c r="D263" s="148"/>
      <c r="E263" s="87"/>
    </row>
    <row r="264" spans="2:5" hidden="1" x14ac:dyDescent="0.25">
      <c r="B264" s="119" t="str">
        <f>+B255</f>
        <v>Depreciación del periodo</v>
      </c>
      <c r="C264" s="88">
        <f>-[1]nota13!G29</f>
        <v>-8638.7799999999988</v>
      </c>
      <c r="D264" s="148"/>
      <c r="E264" s="87"/>
    </row>
    <row r="265" spans="2:5" ht="28.5" hidden="1" x14ac:dyDescent="0.25">
      <c r="B265" s="150" t="s">
        <v>174</v>
      </c>
      <c r="C265" s="151">
        <f>SUM(C260:C264)</f>
        <v>388011.22</v>
      </c>
      <c r="D265" s="152">
        <f>SUM(D260:D264)</f>
        <v>396650</v>
      </c>
      <c r="E265" s="151">
        <f>SUM(E260)</f>
        <v>74900</v>
      </c>
    </row>
    <row r="266" spans="2:5" ht="27" hidden="1" customHeight="1" x14ac:dyDescent="0.25">
      <c r="B266" s="150" t="s">
        <v>175</v>
      </c>
      <c r="C266" s="153">
        <v>0</v>
      </c>
      <c r="D266" s="154">
        <v>0</v>
      </c>
      <c r="E266" s="155">
        <f>+C266-D266</f>
        <v>0</v>
      </c>
    </row>
    <row r="267" spans="2:5" ht="28.5" hidden="1" x14ac:dyDescent="0.25">
      <c r="B267" s="150" t="s">
        <v>176</v>
      </c>
      <c r="C267" s="151">
        <f>+C265-C266</f>
        <v>388011.22</v>
      </c>
      <c r="D267" s="152">
        <f>+D265-D266</f>
        <v>396650</v>
      </c>
      <c r="E267" s="151">
        <f>+E265-E266</f>
        <v>74900</v>
      </c>
    </row>
    <row r="268" spans="2:5" hidden="1" x14ac:dyDescent="0.25">
      <c r="B268" s="144" t="s">
        <v>177</v>
      </c>
      <c r="C268" s="156"/>
      <c r="D268" s="157"/>
      <c r="E268" s="158"/>
    </row>
    <row r="269" spans="2:5" hidden="1" x14ac:dyDescent="0.25">
      <c r="B269" s="119" t="str">
        <f>+B260</f>
        <v xml:space="preserve">Costos de adquisición  </v>
      </c>
      <c r="C269" s="88">
        <f>+'[1]BALANZA G'!C63+'[1]BALANZA G'!C67-C270</f>
        <v>15624467.83</v>
      </c>
      <c r="D269" s="148">
        <f>+'[1]BALANZA G'!D63+'[1]BALANZA G'!D67-D270</f>
        <v>10165018.76</v>
      </c>
      <c r="E269" s="87">
        <f>+C269-D269</f>
        <v>5459449.0700000003</v>
      </c>
    </row>
    <row r="270" spans="2:5" hidden="1" x14ac:dyDescent="0.25">
      <c r="B270" s="119" t="str">
        <f>+B261</f>
        <v>Adiciones</v>
      </c>
      <c r="C270" s="88">
        <f>+'[1]BALANZA G'!C67-D270+'[1]BALANZA G'!C63-'[1]BALANZA G'!D63</f>
        <v>3780</v>
      </c>
      <c r="D270" s="97">
        <f>+'[1]BALANZA G'!D67</f>
        <v>5459449.0700000003</v>
      </c>
      <c r="E270" s="87">
        <f>+C270-D270</f>
        <v>-5455669.0700000003</v>
      </c>
    </row>
    <row r="271" spans="2:5" hidden="1" x14ac:dyDescent="0.25">
      <c r="B271" s="119" t="str">
        <f>+B262</f>
        <v>Retiros</v>
      </c>
      <c r="C271" s="88"/>
      <c r="D271" s="148"/>
      <c r="E271" s="87">
        <f>+C271-D271</f>
        <v>0</v>
      </c>
    </row>
    <row r="272" spans="2:5" hidden="1" x14ac:dyDescent="0.25">
      <c r="B272" s="119" t="str">
        <f>+B263</f>
        <v>Depreciación Acumulada</v>
      </c>
      <c r="C272" s="88">
        <f>-[1]nota13!H28</f>
        <v>-10876825.58</v>
      </c>
      <c r="D272" s="148"/>
      <c r="E272" s="87"/>
    </row>
    <row r="273" spans="2:5" hidden="1" x14ac:dyDescent="0.25">
      <c r="B273" s="119" t="str">
        <f>+B264</f>
        <v>Depreciación del periodo</v>
      </c>
      <c r="C273" s="88">
        <f>-[1]nota13!H29</f>
        <v>-340373.11999999965</v>
      </c>
      <c r="D273" s="148"/>
      <c r="E273" s="87"/>
    </row>
    <row r="274" spans="2:5" ht="28.5" hidden="1" x14ac:dyDescent="0.25">
      <c r="B274" s="150" t="s">
        <v>178</v>
      </c>
      <c r="C274" s="151">
        <f>SUM(C269:C273)</f>
        <v>4411049.1300000008</v>
      </c>
      <c r="D274" s="152">
        <f>SUM(D269:D271)</f>
        <v>15624467.83</v>
      </c>
      <c r="E274" s="151">
        <f>SUM(E269:E271)</f>
        <v>3780</v>
      </c>
    </row>
    <row r="275" spans="2:5" ht="28.5" hidden="1" x14ac:dyDescent="0.25">
      <c r="B275" s="150" t="s">
        <v>179</v>
      </c>
      <c r="C275" s="153"/>
      <c r="D275" s="154"/>
      <c r="E275" s="155"/>
    </row>
    <row r="276" spans="2:5" ht="28.5" hidden="1" x14ac:dyDescent="0.25">
      <c r="B276" s="150" t="s">
        <v>180</v>
      </c>
      <c r="C276" s="151">
        <f>+C274-C275</f>
        <v>4411049.1300000008</v>
      </c>
      <c r="D276" s="152">
        <f>+D274-D275</f>
        <v>15624467.83</v>
      </c>
      <c r="E276" s="151">
        <f>+E274-E275</f>
        <v>3780</v>
      </c>
    </row>
    <row r="277" spans="2:5" hidden="1" x14ac:dyDescent="0.25">
      <c r="B277" s="144" t="s">
        <v>181</v>
      </c>
      <c r="C277" s="161"/>
      <c r="D277" s="148"/>
      <c r="E277" s="87">
        <f>+C277-D277</f>
        <v>0</v>
      </c>
    </row>
    <row r="278" spans="2:5" hidden="1" x14ac:dyDescent="0.25">
      <c r="B278" s="119" t="s">
        <v>182</v>
      </c>
      <c r="C278" s="88"/>
      <c r="D278" s="148"/>
      <c r="E278" s="87">
        <f>+C278-D278</f>
        <v>0</v>
      </c>
    </row>
    <row r="279" spans="2:5" hidden="1" x14ac:dyDescent="0.25">
      <c r="B279" s="162" t="s">
        <v>183</v>
      </c>
      <c r="C279" s="88"/>
      <c r="D279" s="148"/>
      <c r="E279" s="87">
        <f>+C279-D279</f>
        <v>0</v>
      </c>
    </row>
    <row r="280" spans="2:5" ht="28.5" hidden="1" x14ac:dyDescent="0.25">
      <c r="B280" s="150" t="s">
        <v>184</v>
      </c>
      <c r="C280" s="163">
        <f>SUM(C278:C279)</f>
        <v>0</v>
      </c>
      <c r="D280" s="164">
        <f>SUM(D278:D279)</f>
        <v>0</v>
      </c>
      <c r="E280" s="163">
        <f>SUM(E278:E279)</f>
        <v>0</v>
      </c>
    </row>
    <row r="281" spans="2:5" ht="28.5" hidden="1" x14ac:dyDescent="0.25">
      <c r="B281" s="150" t="s">
        <v>185</v>
      </c>
      <c r="C281" s="165">
        <v>0</v>
      </c>
      <c r="D281" s="154">
        <v>0</v>
      </c>
      <c r="E281" s="155">
        <f>+C281-D281</f>
        <v>0</v>
      </c>
    </row>
    <row r="282" spans="2:5" ht="28.5" hidden="1" x14ac:dyDescent="0.25">
      <c r="B282" s="150" t="s">
        <v>186</v>
      </c>
      <c r="C282" s="163">
        <f>+C280-C281</f>
        <v>0</v>
      </c>
      <c r="D282" s="164">
        <f>+D280-D281</f>
        <v>0</v>
      </c>
      <c r="E282" s="163">
        <f>+E280-E281</f>
        <v>0</v>
      </c>
    </row>
    <row r="283" spans="2:5" hidden="1" x14ac:dyDescent="0.25">
      <c r="B283" s="160" t="s">
        <v>187</v>
      </c>
      <c r="C283" s="156"/>
      <c r="D283" s="157"/>
      <c r="E283" s="158"/>
    </row>
    <row r="284" spans="2:5" hidden="1" x14ac:dyDescent="0.25">
      <c r="B284" s="46" t="str">
        <f>+B269</f>
        <v xml:space="preserve">Costos de adquisición  </v>
      </c>
      <c r="C284" s="88">
        <f>+'[1]BALANZA G'!D55</f>
        <v>1623675</v>
      </c>
      <c r="D284" s="148">
        <f>+'[1]BALANZA G'!D55</f>
        <v>1623675</v>
      </c>
      <c r="E284" s="87">
        <f>+C284-D284</f>
        <v>0</v>
      </c>
    </row>
    <row r="285" spans="2:5" hidden="1" x14ac:dyDescent="0.25">
      <c r="B285" s="46" t="str">
        <f>+B270</f>
        <v>Adiciones</v>
      </c>
      <c r="C285" s="88">
        <f>+'[1]BALANZA G'!C55-'[1]BALANZA G'!D55</f>
        <v>0</v>
      </c>
      <c r="D285" s="148">
        <f>+'[1]BALANZA G'!F55</f>
        <v>1623675</v>
      </c>
      <c r="E285" s="87">
        <f>+C285-D285</f>
        <v>-1623675</v>
      </c>
    </row>
    <row r="286" spans="2:5" hidden="1" x14ac:dyDescent="0.25">
      <c r="B286" s="46" t="str">
        <f>+B271</f>
        <v>Retiros</v>
      </c>
      <c r="C286" s="88"/>
      <c r="D286" s="148"/>
      <c r="E286" s="87">
        <f>+C286-D286</f>
        <v>0</v>
      </c>
    </row>
    <row r="287" spans="2:5" hidden="1" x14ac:dyDescent="0.25">
      <c r="B287" s="46" t="str">
        <f>+B272</f>
        <v>Depreciación Acumulada</v>
      </c>
      <c r="C287" s="88"/>
      <c r="D287" s="148"/>
      <c r="E287" s="87"/>
    </row>
    <row r="288" spans="2:5" hidden="1" x14ac:dyDescent="0.25">
      <c r="B288" s="46" t="str">
        <f>+B273</f>
        <v>Depreciación del periodo</v>
      </c>
      <c r="C288" s="88"/>
      <c r="D288" s="148"/>
      <c r="E288" s="87"/>
    </row>
    <row r="289" spans="2:6" hidden="1" x14ac:dyDescent="0.25">
      <c r="B289" s="150" t="s">
        <v>188</v>
      </c>
      <c r="C289" s="151">
        <f>SUM(C278:C285)</f>
        <v>1623675</v>
      </c>
      <c r="D289" s="152">
        <f>SUM(D278:D285)</f>
        <v>3247350</v>
      </c>
      <c r="E289" s="151">
        <f>SUM(E278:E285)</f>
        <v>-1623675</v>
      </c>
    </row>
    <row r="290" spans="2:6" hidden="1" x14ac:dyDescent="0.25">
      <c r="B290" s="160" t="s">
        <v>189</v>
      </c>
      <c r="C290" s="156"/>
      <c r="D290" s="157"/>
      <c r="E290" s="158"/>
    </row>
    <row r="291" spans="2:6" hidden="1" x14ac:dyDescent="0.25">
      <c r="B291" s="46" t="str">
        <f>+B284</f>
        <v xml:space="preserve">Costos de adquisición  </v>
      </c>
      <c r="C291" s="88">
        <f>+'[1]BALANZA G'!D58</f>
        <v>953149176.46000004</v>
      </c>
      <c r="D291" s="148">
        <f>+'[1]BALANZA G'!D58</f>
        <v>953149176.46000004</v>
      </c>
      <c r="E291" s="87">
        <f>+C291-D291</f>
        <v>0</v>
      </c>
    </row>
    <row r="292" spans="2:6" hidden="1" x14ac:dyDescent="0.25">
      <c r="B292" s="46" t="str">
        <f>+B285</f>
        <v>Adiciones</v>
      </c>
      <c r="C292" s="88">
        <f>+'[1]BALANZA G'!C58-'[1]BALANZA G'!D58</f>
        <v>0</v>
      </c>
      <c r="D292" s="148">
        <f>+'[1]BALANZA G'!J57</f>
        <v>0</v>
      </c>
      <c r="E292" s="87">
        <f>+C292-D292</f>
        <v>0</v>
      </c>
    </row>
    <row r="293" spans="2:6" hidden="1" x14ac:dyDescent="0.25">
      <c r="B293" s="46" t="str">
        <f>+B286</f>
        <v>Retiros</v>
      </c>
      <c r="C293" s="88"/>
      <c r="D293" s="148"/>
      <c r="E293" s="87"/>
    </row>
    <row r="294" spans="2:6" hidden="1" x14ac:dyDescent="0.25">
      <c r="B294" s="46" t="str">
        <f>+B287</f>
        <v>Depreciación Acumulada</v>
      </c>
      <c r="C294" s="88">
        <f>-[1]nota13!E28</f>
        <v>-220360422.87</v>
      </c>
      <c r="D294" s="148"/>
      <c r="E294" s="87"/>
    </row>
    <row r="295" spans="2:6" hidden="1" x14ac:dyDescent="0.25">
      <c r="B295" s="46" t="str">
        <f>+B288</f>
        <v>Depreciación del periodo</v>
      </c>
      <c r="C295" s="88">
        <f>-[1]nota13!E29</f>
        <v>-25248051.370000005</v>
      </c>
      <c r="D295" s="148"/>
      <c r="E295" s="87"/>
    </row>
    <row r="296" spans="2:6" hidden="1" x14ac:dyDescent="0.25">
      <c r="B296" s="150" t="s">
        <v>190</v>
      </c>
      <c r="C296" s="151">
        <f>SUM(C291:C295)</f>
        <v>707540702.22000003</v>
      </c>
      <c r="D296" s="152">
        <f>+D291+D292-D293</f>
        <v>953149176.46000004</v>
      </c>
      <c r="E296" s="151">
        <f>+E291+E292-E293</f>
        <v>0</v>
      </c>
    </row>
    <row r="297" spans="2:6" hidden="1" x14ac:dyDescent="0.25">
      <c r="B297" s="150" t="s">
        <v>188</v>
      </c>
      <c r="C297" s="151">
        <f>+C296+C289</f>
        <v>709164377.22000003</v>
      </c>
      <c r="D297" s="152">
        <f>+D296+D289</f>
        <v>956396526.46000004</v>
      </c>
      <c r="E297" s="151">
        <f>+E296+E289</f>
        <v>-1623675</v>
      </c>
      <c r="F297" s="166">
        <f>+F296+F289</f>
        <v>0</v>
      </c>
    </row>
    <row r="298" spans="2:6" hidden="1" x14ac:dyDescent="0.25">
      <c r="B298" s="150" t="s">
        <v>191</v>
      </c>
      <c r="C298" s="153"/>
      <c r="D298" s="154"/>
      <c r="E298" s="155">
        <f>+C298-D298</f>
        <v>0</v>
      </c>
    </row>
    <row r="299" spans="2:6" ht="27" hidden="1" customHeight="1" x14ac:dyDescent="0.25">
      <c r="B299" s="150" t="s">
        <v>192</v>
      </c>
      <c r="C299" s="151">
        <f>+C297-C298</f>
        <v>709164377.22000003</v>
      </c>
      <c r="D299" s="152">
        <f>+D297-D298</f>
        <v>956396526.46000004</v>
      </c>
      <c r="E299" s="151">
        <f>+E297-E298</f>
        <v>-1623675</v>
      </c>
    </row>
    <row r="300" spans="2:6" hidden="1" x14ac:dyDescent="0.25">
      <c r="B300" s="167" t="s">
        <v>193</v>
      </c>
      <c r="C300" s="161"/>
      <c r="D300" s="148"/>
      <c r="E300" s="87">
        <f>+C300-D300</f>
        <v>0</v>
      </c>
    </row>
    <row r="301" spans="2:6" hidden="1" x14ac:dyDescent="0.25">
      <c r="B301" s="119" t="s">
        <v>194</v>
      </c>
      <c r="C301" s="88"/>
      <c r="D301" s="148"/>
      <c r="E301" s="87">
        <f>+C301-D301</f>
        <v>0</v>
      </c>
    </row>
    <row r="302" spans="2:6" hidden="1" x14ac:dyDescent="0.25">
      <c r="B302" s="150" t="s">
        <v>195</v>
      </c>
      <c r="C302" s="151">
        <f>SUM(C301)</f>
        <v>0</v>
      </c>
      <c r="D302" s="152">
        <f>SUM(D301)</f>
        <v>0</v>
      </c>
      <c r="E302" s="151">
        <f>SUM(E301)</f>
        <v>0</v>
      </c>
    </row>
    <row r="303" spans="2:6" ht="28.5" hidden="1" x14ac:dyDescent="0.25">
      <c r="B303" s="150" t="s">
        <v>196</v>
      </c>
      <c r="C303" s="153"/>
      <c r="D303" s="154"/>
      <c r="E303" s="155">
        <f>+C303-D303</f>
        <v>0</v>
      </c>
    </row>
    <row r="304" spans="2:6" ht="28.5" hidden="1" x14ac:dyDescent="0.25">
      <c r="B304" s="150" t="s">
        <v>197</v>
      </c>
      <c r="C304" s="151">
        <f>+C302-C303</f>
        <v>0</v>
      </c>
      <c r="D304" s="152">
        <f>+D302-D303</f>
        <v>0</v>
      </c>
      <c r="E304" s="151">
        <f>+E302-E303</f>
        <v>0</v>
      </c>
    </row>
    <row r="305" spans="2:26" hidden="1" x14ac:dyDescent="0.25">
      <c r="B305" s="167" t="s">
        <v>198</v>
      </c>
      <c r="C305" s="161"/>
      <c r="D305" s="148"/>
      <c r="E305" s="87"/>
    </row>
    <row r="306" spans="2:26" hidden="1" x14ac:dyDescent="0.25">
      <c r="B306" s="162" t="s">
        <v>199</v>
      </c>
      <c r="C306" s="88"/>
      <c r="D306" s="148"/>
      <c r="E306" s="87">
        <f>+C306-D306</f>
        <v>0</v>
      </c>
    </row>
    <row r="307" spans="2:26" ht="12" hidden="1" customHeight="1" x14ac:dyDescent="0.25">
      <c r="B307" s="162" t="s">
        <v>200</v>
      </c>
      <c r="C307" s="88"/>
      <c r="D307" s="148"/>
      <c r="E307" s="87">
        <f>+C307-D307</f>
        <v>0</v>
      </c>
    </row>
    <row r="308" spans="2:26" ht="13.5" hidden="1" customHeight="1" x14ac:dyDescent="0.25">
      <c r="B308" s="162" t="s">
        <v>201</v>
      </c>
      <c r="C308" s="88"/>
      <c r="D308" s="148"/>
      <c r="E308" s="87">
        <f>+C308-D308</f>
        <v>0</v>
      </c>
    </row>
    <row r="309" spans="2:26" ht="24.75" hidden="1" customHeight="1" x14ac:dyDescent="0.25">
      <c r="B309" s="150" t="s">
        <v>202</v>
      </c>
      <c r="C309" s="151">
        <f>SUM(C306:C308)</f>
        <v>0</v>
      </c>
      <c r="D309" s="152">
        <f>SUM(D306:D308)</f>
        <v>0</v>
      </c>
      <c r="E309" s="151">
        <f>SUM(E306:E308)</f>
        <v>0</v>
      </c>
    </row>
    <row r="310" spans="2:26" ht="21" hidden="1" customHeight="1" x14ac:dyDescent="0.25">
      <c r="B310" s="150" t="s">
        <v>203</v>
      </c>
      <c r="C310" s="153"/>
      <c r="D310" s="154"/>
      <c r="E310" s="155">
        <f>+C310-D310</f>
        <v>0</v>
      </c>
    </row>
    <row r="311" spans="2:26" ht="33" hidden="1" customHeight="1" x14ac:dyDescent="0.25">
      <c r="B311" s="150" t="s">
        <v>204</v>
      </c>
      <c r="C311" s="151">
        <f>+C309-C310</f>
        <v>0</v>
      </c>
      <c r="D311" s="152">
        <f>+D309-D310</f>
        <v>0</v>
      </c>
      <c r="E311" s="151">
        <f>+E309-E310</f>
        <v>0</v>
      </c>
    </row>
    <row r="312" spans="2:26" hidden="1" x14ac:dyDescent="0.25">
      <c r="B312" s="150" t="s">
        <v>205</v>
      </c>
      <c r="C312" s="168">
        <f>+C311+C304+C299+C282+C276+C267+C258+C249</f>
        <v>734661639.23000014</v>
      </c>
      <c r="D312" s="169">
        <f>+D311+D304+D299+D282+D276+D267+D258+D249</f>
        <v>1086969610.1900001</v>
      </c>
      <c r="E312" s="168">
        <f>+E311+E304+E299+E282+E276+E267+E258+E249</f>
        <v>-33449993.199999992</v>
      </c>
    </row>
    <row r="313" spans="2:26" hidden="1" x14ac:dyDescent="0.25">
      <c r="B313" s="150" t="s">
        <v>206</v>
      </c>
      <c r="C313" s="170">
        <f>+C310+C303+C298+C281+C275+C266+C257+C248</f>
        <v>0</v>
      </c>
      <c r="D313" s="154">
        <f>+D310+D303+D298+D281+D275+D266+D257+D248</f>
        <v>0</v>
      </c>
      <c r="E313" s="155">
        <f>+C313-D313</f>
        <v>0</v>
      </c>
    </row>
    <row r="314" spans="2:26" hidden="1" x14ac:dyDescent="0.25">
      <c r="B314" s="150" t="s">
        <v>207</v>
      </c>
      <c r="C314" s="168">
        <f>+C297+C276+C267+C258+C249</f>
        <v>734661639.23000014</v>
      </c>
      <c r="D314" s="169">
        <f>+D297+D276+D267+D258+D249</f>
        <v>1086969610.1900001</v>
      </c>
      <c r="E314" s="168">
        <f>+E312-E313</f>
        <v>-33449993.199999992</v>
      </c>
    </row>
    <row r="315" spans="2:26" s="10" customFormat="1" ht="9.75" hidden="1" customHeight="1" x14ac:dyDescent="0.25">
      <c r="B315" s="171"/>
      <c r="C315" s="172"/>
      <c r="D315" s="173"/>
      <c r="E315" s="174"/>
      <c r="J315" s="15"/>
      <c r="N315" s="15"/>
      <c r="R315" s="4"/>
      <c r="S315" s="4"/>
      <c r="T315" s="4"/>
      <c r="U315" s="4"/>
      <c r="V315" s="4"/>
      <c r="W315" s="4"/>
      <c r="X315" s="4"/>
      <c r="Y315" s="4"/>
      <c r="Z315" s="15"/>
    </row>
    <row r="316" spans="2:26" s="50" customFormat="1" x14ac:dyDescent="0.25">
      <c r="B316" s="60" t="str">
        <f>("Cambio porcentual con relación al "&amp;$D$117&amp;".")</f>
        <v>Cambio porcentual con relación al 2023.</v>
      </c>
      <c r="C316" s="61"/>
      <c r="D316" s="134" t="str">
        <f>IF(E316&gt;=0,"Aumento","Disminución")</f>
        <v>Disminución</v>
      </c>
      <c r="E316" s="135">
        <f>+E314/D314</f>
        <v>-3.0773623187269238E-2</v>
      </c>
      <c r="J316" s="54"/>
      <c r="N316" s="54"/>
      <c r="R316" s="55"/>
      <c r="S316" s="55"/>
      <c r="T316" s="55"/>
      <c r="U316" s="55"/>
      <c r="V316" s="55"/>
      <c r="W316" s="55"/>
      <c r="X316" s="55"/>
      <c r="Y316" s="55"/>
      <c r="Z316" s="54"/>
    </row>
    <row r="317" spans="2:26" x14ac:dyDescent="0.25">
      <c r="B317" s="110"/>
    </row>
    <row r="318" spans="2:26" x14ac:dyDescent="0.25">
      <c r="B318" s="110"/>
    </row>
    <row r="319" spans="2:26" x14ac:dyDescent="0.25">
      <c r="B319" s="110"/>
    </row>
    <row r="320" spans="2:26" x14ac:dyDescent="0.25">
      <c r="B320" s="110"/>
    </row>
    <row r="321" spans="2:2" x14ac:dyDescent="0.25">
      <c r="B321" s="110"/>
    </row>
    <row r="322" spans="2:2" x14ac:dyDescent="0.25">
      <c r="B322" s="110"/>
    </row>
    <row r="323" spans="2:2" x14ac:dyDescent="0.25">
      <c r="B323" s="110"/>
    </row>
    <row r="324" spans="2:2" x14ac:dyDescent="0.25">
      <c r="B324" s="110"/>
    </row>
    <row r="325" spans="2:2" x14ac:dyDescent="0.25">
      <c r="B325" s="110"/>
    </row>
    <row r="326" spans="2:2" x14ac:dyDescent="0.25">
      <c r="B326" s="110"/>
    </row>
    <row r="327" spans="2:2" x14ac:dyDescent="0.25">
      <c r="B327" s="110"/>
    </row>
    <row r="328" spans="2:2" x14ac:dyDescent="0.25">
      <c r="B328" s="110"/>
    </row>
    <row r="329" spans="2:2" x14ac:dyDescent="0.25">
      <c r="B329" s="110"/>
    </row>
    <row r="330" spans="2:2" x14ac:dyDescent="0.25">
      <c r="B330" s="110"/>
    </row>
    <row r="331" spans="2:2" x14ac:dyDescent="0.25">
      <c r="B331" s="110"/>
    </row>
    <row r="332" spans="2:2" x14ac:dyDescent="0.25">
      <c r="B332" s="110"/>
    </row>
    <row r="333" spans="2:2" x14ac:dyDescent="0.25">
      <c r="B333" s="110"/>
    </row>
    <row r="334" spans="2:2" x14ac:dyDescent="0.25">
      <c r="B334" s="110"/>
    </row>
    <row r="335" spans="2:2" x14ac:dyDescent="0.25">
      <c r="B335" s="110"/>
    </row>
    <row r="336" spans="2:2" x14ac:dyDescent="0.25">
      <c r="B336" s="110"/>
    </row>
    <row r="337" spans="2:2" x14ac:dyDescent="0.25">
      <c r="B337" s="110"/>
    </row>
    <row r="338" spans="2:2" x14ac:dyDescent="0.25">
      <c r="B338" s="110"/>
    </row>
    <row r="339" spans="2:2" x14ac:dyDescent="0.25">
      <c r="B339" s="110"/>
    </row>
    <row r="340" spans="2:2" x14ac:dyDescent="0.25">
      <c r="B340" s="110"/>
    </row>
    <row r="341" spans="2:2" x14ac:dyDescent="0.25">
      <c r="B341" s="110"/>
    </row>
    <row r="342" spans="2:2" x14ac:dyDescent="0.25">
      <c r="B342" s="110"/>
    </row>
    <row r="343" spans="2:2" x14ac:dyDescent="0.25">
      <c r="B343" s="110"/>
    </row>
    <row r="344" spans="2:2" x14ac:dyDescent="0.25">
      <c r="B344" s="110"/>
    </row>
    <row r="345" spans="2:2" ht="35.25" customHeight="1" x14ac:dyDescent="0.25">
      <c r="B345" s="110"/>
    </row>
    <row r="346" spans="2:2" x14ac:dyDescent="0.25">
      <c r="B346" s="110"/>
    </row>
    <row r="347" spans="2:2" x14ac:dyDescent="0.25">
      <c r="B347" s="110"/>
    </row>
    <row r="348" spans="2:2" x14ac:dyDescent="0.25">
      <c r="B348" s="110"/>
    </row>
    <row r="349" spans="2:2" x14ac:dyDescent="0.25">
      <c r="B349" s="110"/>
    </row>
    <row r="350" spans="2:2" ht="6" customHeight="1" x14ac:dyDescent="0.25">
      <c r="B350" s="110"/>
    </row>
    <row r="351" spans="2:2" x14ac:dyDescent="0.25">
      <c r="B351" s="110"/>
    </row>
    <row r="352" spans="2:2" x14ac:dyDescent="0.25">
      <c r="B352" s="110"/>
    </row>
    <row r="353" spans="2:26" x14ac:dyDescent="0.25">
      <c r="B353" s="110"/>
    </row>
    <row r="354" spans="2:26" x14ac:dyDescent="0.25">
      <c r="B354" s="110"/>
    </row>
    <row r="355" spans="2:26" x14ac:dyDescent="0.25">
      <c r="B355" s="68" t="s">
        <v>208</v>
      </c>
    </row>
    <row r="356" spans="2:26" x14ac:dyDescent="0.25">
      <c r="B356" s="68" t="s">
        <v>209</v>
      </c>
    </row>
    <row r="357" spans="2:26" ht="15" customHeight="1" x14ac:dyDescent="0.25">
      <c r="B357" s="14" t="str">
        <f>("Un detalle de las  "&amp;B356&amp;" al "&amp;[1]BALANZA!$B$3&amp;" "&amp;[1]BALANZA!$C$3&amp;" es como se detalla a continuación:")</f>
        <v>Un detalle de las  Activos Intangible  al 30 de Septiembre del 2024 - 2023 es como se detalla a continuación:</v>
      </c>
      <c r="C357" s="37"/>
      <c r="D357" s="37"/>
      <c r="E357" s="37"/>
    </row>
    <row r="358" spans="2:26" ht="33.75" customHeight="1" x14ac:dyDescent="0.25">
      <c r="B358" s="20" t="str">
        <f>("Las "&amp;B356&amp;" está integrado siguientes cuentas, para el "&amp;C360&amp;" el total era de RD$"&amp;R363&amp;" y para el "&amp;D360&amp;" el total fue de RD$"&amp;R364&amp;" , Según el siguiente detalle:")</f>
        <v>Las Activos Intangible  está integrado siguientes cuentas, para el 2024 el total era de RD$29,194.43 y para el 2023 el total fue de RD$160,568.42 , Según el siguiente detalle:</v>
      </c>
      <c r="C358" s="20"/>
      <c r="D358" s="20"/>
      <c r="E358" s="20"/>
      <c r="I358" s="175"/>
      <c r="J358" s="176"/>
    </row>
    <row r="359" spans="2:26" s="50" customFormat="1" ht="12.75" customHeight="1" x14ac:dyDescent="0.25">
      <c r="B359" s="177"/>
      <c r="C359" s="177"/>
      <c r="D359" s="178"/>
      <c r="E359" s="179"/>
      <c r="J359" s="54"/>
      <c r="N359" s="54"/>
      <c r="R359" s="55"/>
      <c r="S359" s="55"/>
      <c r="T359" s="55"/>
      <c r="U359" s="55"/>
      <c r="V359" s="55"/>
      <c r="W359" s="55"/>
      <c r="X359" s="55"/>
      <c r="Y359" s="55"/>
      <c r="Z359" s="54"/>
    </row>
    <row r="360" spans="2:26" x14ac:dyDescent="0.25">
      <c r="B360" s="180" t="s">
        <v>94</v>
      </c>
      <c r="C360" s="181">
        <f>+[1]BALANZA!B4</f>
        <v>2024</v>
      </c>
      <c r="D360" s="181">
        <f>+[1]BALANZA!C4</f>
        <v>2023</v>
      </c>
      <c r="E360" s="180" t="s">
        <v>95</v>
      </c>
    </row>
    <row r="361" spans="2:26" x14ac:dyDescent="0.25">
      <c r="B361" s="182" t="s">
        <v>210</v>
      </c>
      <c r="C361" s="97">
        <f>+'[1]BALANZA G'!C69+243708</f>
        <v>418873.5</v>
      </c>
      <c r="D361" s="97">
        <f>+'[1]BALANZA G'!D69+243708</f>
        <v>418873.5</v>
      </c>
      <c r="E361" s="183">
        <f>+C361-D361</f>
        <v>0</v>
      </c>
    </row>
    <row r="362" spans="2:26" x14ac:dyDescent="0.25">
      <c r="B362" s="182" t="s">
        <v>211</v>
      </c>
      <c r="C362" s="97">
        <f>-'[1]BALANZA G'!C82-243708</f>
        <v>-389679.07</v>
      </c>
      <c r="D362" s="97">
        <f>-'[1]BALANZA G'!D82-243708</f>
        <v>-258305.08</v>
      </c>
      <c r="E362" s="183">
        <f>+C362-D362</f>
        <v>-131373.99000000002</v>
      </c>
      <c r="J362" s="3">
        <v>-20309</v>
      </c>
    </row>
    <row r="363" spans="2:26" x14ac:dyDescent="0.25">
      <c r="B363" s="122" t="s">
        <v>212</v>
      </c>
      <c r="C363" s="123">
        <f>+C361+C362</f>
        <v>29194.429999999993</v>
      </c>
      <c r="D363" s="123">
        <f>SUM(D361:D361)+D362</f>
        <v>160568.42000000001</v>
      </c>
      <c r="E363" s="123">
        <f>SUM(E361:E361)-E362</f>
        <v>131373.99000000002</v>
      </c>
      <c r="R363" s="4" t="str">
        <f>+CONCATENATE(S363,",",T363,U363)</f>
        <v>29,194.43</v>
      </c>
      <c r="S363" s="4" t="str">
        <f>MID(C363,1,2)</f>
        <v>29</v>
      </c>
      <c r="T363" s="4" t="str">
        <f>MID(C363,3,3)</f>
        <v>194</v>
      </c>
      <c r="U363" s="4" t="str">
        <f>MID(C363,6,3)</f>
        <v>.43</v>
      </c>
    </row>
    <row r="364" spans="2:26" ht="10.5" customHeight="1" x14ac:dyDescent="0.25">
      <c r="B364" s="184"/>
      <c r="C364" s="185"/>
      <c r="D364" s="186"/>
      <c r="E364" s="187"/>
      <c r="R364" s="4" t="str">
        <f>+CONCATENATE(S364,",",T364,U364)</f>
        <v>160,568.42</v>
      </c>
      <c r="S364" s="4" t="str">
        <f>MID(D363,1,3)</f>
        <v>160</v>
      </c>
      <c r="T364" s="4" t="str">
        <f>MID(D363,4,3)</f>
        <v>568</v>
      </c>
      <c r="U364" s="4" t="str">
        <f>MID(D363,7,3)</f>
        <v>.42</v>
      </c>
    </row>
    <row r="365" spans="2:26" s="50" customFormat="1" x14ac:dyDescent="0.25">
      <c r="B365" s="60" t="str">
        <f>("Cambio porcentual con relación al "&amp;$D$117&amp;".")</f>
        <v>Cambio porcentual con relación al 2023.</v>
      </c>
      <c r="C365" s="61"/>
      <c r="D365" s="188">
        <v>0</v>
      </c>
      <c r="E365" s="94">
        <f>IFERROR(+E363/D363,0)</f>
        <v>0.81818074811971131</v>
      </c>
      <c r="J365" s="54"/>
      <c r="N365" s="54"/>
      <c r="R365" s="55"/>
      <c r="S365" s="55"/>
      <c r="T365" s="55"/>
      <c r="U365" s="55"/>
      <c r="V365" s="55"/>
      <c r="W365" s="55"/>
      <c r="X365" s="55"/>
      <c r="Y365" s="55"/>
      <c r="Z365" s="54"/>
    </row>
    <row r="366" spans="2:26" s="50" customFormat="1" x14ac:dyDescent="0.25">
      <c r="B366" s="177"/>
      <c r="C366" s="177"/>
      <c r="D366" s="189"/>
      <c r="E366" s="179"/>
      <c r="J366" s="54"/>
      <c r="N366" s="54"/>
      <c r="R366" s="55"/>
      <c r="S366" s="55"/>
      <c r="T366" s="55"/>
      <c r="U366" s="55"/>
      <c r="V366" s="55"/>
      <c r="W366" s="55"/>
      <c r="X366" s="55"/>
      <c r="Y366" s="55"/>
      <c r="Z366" s="54"/>
    </row>
    <row r="367" spans="2:26" s="50" customFormat="1" x14ac:dyDescent="0.25">
      <c r="B367" s="29" t="s">
        <v>156</v>
      </c>
      <c r="C367" s="29"/>
      <c r="D367" s="29"/>
      <c r="E367" s="29"/>
      <c r="J367" s="54"/>
      <c r="N367" s="54"/>
      <c r="R367" s="55"/>
      <c r="S367" s="55"/>
      <c r="T367" s="55"/>
      <c r="U367" s="55"/>
      <c r="V367" s="55"/>
      <c r="W367" s="55"/>
      <c r="X367" s="55"/>
      <c r="Y367" s="55"/>
      <c r="Z367" s="54"/>
    </row>
    <row r="368" spans="2:26" s="50" customFormat="1" x14ac:dyDescent="0.25">
      <c r="B368" s="177"/>
      <c r="C368" s="177"/>
      <c r="D368" s="189"/>
      <c r="E368" s="179"/>
      <c r="J368" s="54"/>
      <c r="N368" s="54"/>
      <c r="R368" s="55"/>
      <c r="S368" s="55"/>
      <c r="T368" s="55"/>
      <c r="U368" s="55"/>
      <c r="V368" s="55"/>
      <c r="W368" s="55"/>
      <c r="X368" s="55"/>
      <c r="Y368" s="55"/>
      <c r="Z368" s="54"/>
    </row>
    <row r="369" spans="2:26" s="50" customFormat="1" x14ac:dyDescent="0.25">
      <c r="B369" s="177"/>
      <c r="C369" s="177"/>
      <c r="D369" s="189"/>
      <c r="E369" s="179"/>
      <c r="J369" s="54"/>
      <c r="N369" s="54"/>
      <c r="R369" s="55"/>
      <c r="S369" s="55"/>
      <c r="T369" s="55"/>
      <c r="U369" s="55"/>
      <c r="V369" s="55"/>
      <c r="W369" s="55"/>
      <c r="X369" s="55"/>
      <c r="Y369" s="55"/>
      <c r="Z369" s="54"/>
    </row>
    <row r="370" spans="2:26" s="50" customFormat="1" x14ac:dyDescent="0.25">
      <c r="B370" s="177"/>
      <c r="C370" s="177"/>
      <c r="D370" s="189"/>
      <c r="E370" s="179"/>
      <c r="J370" s="54"/>
      <c r="N370" s="54"/>
      <c r="R370" s="55"/>
      <c r="S370" s="55"/>
      <c r="T370" s="55"/>
      <c r="U370" s="55"/>
      <c r="V370" s="55"/>
      <c r="W370" s="55"/>
      <c r="X370" s="55"/>
      <c r="Y370" s="55"/>
      <c r="Z370" s="54"/>
    </row>
    <row r="371" spans="2:26" s="50" customFormat="1" x14ac:dyDescent="0.25">
      <c r="B371" s="177"/>
      <c r="C371" s="177"/>
      <c r="D371" s="189"/>
      <c r="E371" s="179"/>
      <c r="J371" s="54"/>
      <c r="N371" s="54"/>
      <c r="R371" s="55"/>
      <c r="S371" s="55"/>
      <c r="T371" s="55"/>
      <c r="U371" s="55"/>
      <c r="V371" s="55"/>
      <c r="W371" s="55"/>
      <c r="X371" s="55"/>
      <c r="Y371" s="55"/>
      <c r="Z371" s="54"/>
    </row>
    <row r="372" spans="2:26" s="50" customFormat="1" ht="8.25" customHeight="1" x14ac:dyDescent="0.25">
      <c r="B372" s="190"/>
      <c r="C372" s="190"/>
      <c r="D372" s="191"/>
      <c r="E372" s="192"/>
      <c r="J372" s="54"/>
      <c r="N372" s="54"/>
      <c r="R372" s="55"/>
      <c r="S372" s="55"/>
      <c r="T372" s="55"/>
      <c r="U372" s="55"/>
      <c r="V372" s="55"/>
      <c r="W372" s="55"/>
      <c r="X372" s="55"/>
      <c r="Y372" s="55"/>
      <c r="Z372" s="54"/>
    </row>
    <row r="373" spans="2:26" x14ac:dyDescent="0.25">
      <c r="B373" s="193" t="s">
        <v>213</v>
      </c>
      <c r="C373" s="31"/>
      <c r="D373" s="34"/>
      <c r="E373" s="31"/>
    </row>
    <row r="374" spans="2:26" ht="21.75" customHeight="1" x14ac:dyDescent="0.25">
      <c r="B374" s="7" t="s">
        <v>214</v>
      </c>
      <c r="C374" s="7"/>
      <c r="D374" s="7"/>
      <c r="E374" s="7"/>
    </row>
    <row r="375" spans="2:26" ht="27.75" customHeight="1" x14ac:dyDescent="0.25">
      <c r="B375" s="14" t="str">
        <f>("Un detalle de las  "&amp;B374&amp;" al "&amp;[1]BALANZA!$B$3&amp;" "&amp;[1]BALANZA!$C$3&amp;" es como se detalla a continuación:")</f>
        <v>Un detalle de las  Cuentas por pagar a corto plazo al 30 de Septiembre del 2024 - 2023 es como se detalla a continuación:</v>
      </c>
      <c r="C375" s="37"/>
      <c r="D375" s="37"/>
      <c r="E375" s="37"/>
    </row>
    <row r="376" spans="2:26" ht="59.25" customHeight="1" x14ac:dyDescent="0.25">
      <c r="B376" s="20" t="str">
        <f>("Las Cuentas por Pagar está integrado por las deudas y compromisos de pago que tiene la institución con los suplidores de servicios, retenciones impositivas y documentos por pagar, con una disminucion en el "&amp;C379&amp;"  el total era de RD$ "&amp;R383&amp;" y para el "&amp;D379&amp;" el total fue de RD$ "&amp;R384&amp;" , Según el siguiente detalle:")</f>
        <v>Las Cuentas por Pagar está integrado por las deudas y compromisos de pago que tiene la institución con los suplidores de servicios, retenciones impositivas y documentos por pagar, con una disminucion en el 2024  el total era de RD$ 20,426,638.56 y para el 2023 el total fue de RD$ 10,276,034.01 , Según el siguiente detalle:</v>
      </c>
      <c r="C376" s="20"/>
      <c r="D376" s="20"/>
      <c r="E376" s="20"/>
    </row>
    <row r="377" spans="2:26" ht="45" customHeight="1" x14ac:dyDescent="0.25">
      <c r="B377" s="14" t="s">
        <v>215</v>
      </c>
      <c r="C377" s="14"/>
      <c r="D377" s="14"/>
      <c r="E377" s="14"/>
    </row>
    <row r="378" spans="2:26" x14ac:dyDescent="0.25">
      <c r="B378" s="13" t="s">
        <v>216</v>
      </c>
    </row>
    <row r="379" spans="2:26" x14ac:dyDescent="0.25">
      <c r="B379" s="194" t="s">
        <v>217</v>
      </c>
      <c r="C379" s="181">
        <f>+[1]BALANZA!B4</f>
        <v>2024</v>
      </c>
      <c r="D379" s="181">
        <f>+[1]BALANZA!C4</f>
        <v>2023</v>
      </c>
      <c r="E379" s="195" t="s">
        <v>218</v>
      </c>
    </row>
    <row r="380" spans="2:26" x14ac:dyDescent="0.25">
      <c r="B380" s="162" t="s">
        <v>219</v>
      </c>
      <c r="C380" s="97">
        <f>+'[1]BALANZA G'!C99-C381</f>
        <v>13769765.939999998</v>
      </c>
      <c r="D380" s="97">
        <f>+'[1]BALANZA G'!D99-D381</f>
        <v>8032915.8499999996</v>
      </c>
      <c r="E380" s="49">
        <f>+C380-D380</f>
        <v>5736850.089999998</v>
      </c>
    </row>
    <row r="381" spans="2:26" x14ac:dyDescent="0.25">
      <c r="B381" s="162" t="s">
        <v>220</v>
      </c>
      <c r="C381" s="196">
        <f>800000+4413754.46</f>
        <v>5213754.46</v>
      </c>
      <c r="D381" s="97">
        <v>800000</v>
      </c>
      <c r="E381" s="49">
        <f>+C381-D381</f>
        <v>4413754.46</v>
      </c>
    </row>
    <row r="382" spans="2:26" x14ac:dyDescent="0.25">
      <c r="B382" s="162" t="s">
        <v>221</v>
      </c>
      <c r="C382" s="196">
        <f>+'[1]BALANZA G'!C100+'[1]BALANZA G'!C101</f>
        <v>1443118.16</v>
      </c>
      <c r="D382" s="97">
        <f>+'[1]BALANZA G'!D100+'[1]BALANZA G'!D101</f>
        <v>1443118.16</v>
      </c>
      <c r="E382" s="49">
        <f>+C382-D382</f>
        <v>0</v>
      </c>
    </row>
    <row r="383" spans="2:26" x14ac:dyDescent="0.25">
      <c r="B383" s="194" t="s">
        <v>222</v>
      </c>
      <c r="C383" s="124">
        <f>SUM(C380:C382)</f>
        <v>20426638.559999999</v>
      </c>
      <c r="D383" s="197">
        <f>SUM(D380:D382)</f>
        <v>10276034.01</v>
      </c>
      <c r="E383" s="124">
        <f>SUM(E380:E382)</f>
        <v>10150604.549999997</v>
      </c>
      <c r="R383" s="4" t="str">
        <f>+CONCATENATE(S383,",",T383,",",U383,V383,AB383,"")</f>
        <v>20,426,638.56</v>
      </c>
      <c r="S383" s="4" t="str">
        <f>MID(C383,1,2)</f>
        <v>20</v>
      </c>
      <c r="T383" s="4" t="str">
        <f>MID(C383,3,3)</f>
        <v>426</v>
      </c>
      <c r="U383" s="4" t="str">
        <f>MID(C383,6,3)</f>
        <v>638</v>
      </c>
      <c r="V383" s="4" t="str">
        <f>MID(C383,9,3)</f>
        <v>.56</v>
      </c>
    </row>
    <row r="384" spans="2:26" x14ac:dyDescent="0.25">
      <c r="B384" s="198"/>
      <c r="C384" s="199"/>
      <c r="D384" s="200"/>
      <c r="R384" s="4" t="str">
        <f>+CONCATENATE(S384,",",T384,",",U384,V384,AB384)</f>
        <v>10,276,034.01</v>
      </c>
      <c r="S384" s="4" t="str">
        <f>MID(D383,1,2)</f>
        <v>10</v>
      </c>
      <c r="T384" s="4" t="str">
        <f>MID(D383,3,3)</f>
        <v>276</v>
      </c>
      <c r="U384" s="4" t="str">
        <f>MID(D383,6,3)</f>
        <v>034</v>
      </c>
      <c r="V384" s="4" t="str">
        <f>MID(D383,9,3)</f>
        <v>.01</v>
      </c>
    </row>
    <row r="385" spans="2:26" s="50" customFormat="1" x14ac:dyDescent="0.25">
      <c r="B385" s="60" t="str">
        <f>("Cambio porcentual con relación al "&amp;$D$117&amp;".")</f>
        <v>Cambio porcentual con relación al 2023.</v>
      </c>
      <c r="C385" s="61"/>
      <c r="D385" s="62" t="str">
        <f>IF(E385&gt;=0,"Aumento","Disminución")</f>
        <v>Aumento</v>
      </c>
      <c r="E385" s="94">
        <f>+E383/D383</f>
        <v>0.98779398161995746</v>
      </c>
      <c r="J385" s="54"/>
      <c r="N385" s="54"/>
      <c r="R385" s="55"/>
      <c r="S385" s="55"/>
      <c r="T385" s="55"/>
      <c r="U385" s="55"/>
      <c r="V385" s="55"/>
      <c r="W385" s="55"/>
      <c r="X385" s="55"/>
      <c r="Y385" s="55"/>
      <c r="Z385" s="54"/>
    </row>
    <row r="386" spans="2:26" ht="22.5" customHeight="1" x14ac:dyDescent="0.25">
      <c r="B386" s="7" t="s">
        <v>223</v>
      </c>
      <c r="C386" s="7"/>
      <c r="D386" s="7"/>
      <c r="E386" s="7"/>
    </row>
    <row r="387" spans="2:26" ht="12.75" customHeight="1" x14ac:dyDescent="0.25">
      <c r="B387" s="201"/>
      <c r="C387" s="201"/>
      <c r="D387" s="202"/>
      <c r="E387" s="201"/>
    </row>
    <row r="388" spans="2:26" hidden="1" x14ac:dyDescent="0.25">
      <c r="B388" s="68" t="s">
        <v>224</v>
      </c>
    </row>
    <row r="389" spans="2:26" ht="24" hidden="1" customHeight="1" x14ac:dyDescent="0.25">
      <c r="B389" s="20" t="str">
        <f>+B136</f>
        <v>Un detalle del Inversiones a corto plazo al 30 de Septiembre del 2024 - 2023 es como se detalla a continuación:</v>
      </c>
      <c r="C389" s="20"/>
      <c r="D389" s="20"/>
      <c r="E389" s="20"/>
    </row>
    <row r="390" spans="2:26" ht="78" hidden="1" customHeight="1" x14ac:dyDescent="0.25">
      <c r="B390" s="20" t="str">
        <f>("Los Prestamos por Pagar está integrado por las deudas y compromisos de pago que tiene la institución con los bancos, para el "&amp;C392&amp;" el total era de RD$"&amp;C394&amp;" y para el "&amp;D392&amp;" el total fue de RD$"&amp;D394&amp;" , Según el siguiente detalle:")</f>
        <v>Los Prestamos por Pagar está integrado por las deudas y compromisos de pago que tiene la institución con los bancos, para el 2024 el total era de RD$0 y para el 2023 el total fue de RD$0 , Según el siguiente detalle:</v>
      </c>
      <c r="C390" s="20"/>
      <c r="D390" s="20"/>
      <c r="E390" s="20"/>
    </row>
    <row r="391" spans="2:26" hidden="1" x14ac:dyDescent="0.25">
      <c r="B391" s="13" t="s">
        <v>216</v>
      </c>
    </row>
    <row r="392" spans="2:26" hidden="1" x14ac:dyDescent="0.25">
      <c r="B392" s="194" t="s">
        <v>217</v>
      </c>
      <c r="C392" s="181">
        <f>+C139</f>
        <v>2024</v>
      </c>
      <c r="D392" s="203">
        <f>+D139</f>
        <v>2023</v>
      </c>
      <c r="E392" s="195" t="s">
        <v>218</v>
      </c>
    </row>
    <row r="393" spans="2:26" hidden="1" x14ac:dyDescent="0.25">
      <c r="B393" s="162" t="s">
        <v>225</v>
      </c>
      <c r="C393" s="88">
        <f>+'[1]BALANZA G'!C110</f>
        <v>0</v>
      </c>
      <c r="D393" s="97">
        <f>+'[1]BALANZA G'!D110</f>
        <v>0</v>
      </c>
      <c r="E393" s="87">
        <f>+C393-D393</f>
        <v>0</v>
      </c>
    </row>
    <row r="394" spans="2:26" hidden="1" x14ac:dyDescent="0.25">
      <c r="B394" s="194" t="s">
        <v>226</v>
      </c>
      <c r="C394" s="124">
        <f>SUM(C393:C393)</f>
        <v>0</v>
      </c>
      <c r="D394" s="197">
        <f>SUM(D393:D393)</f>
        <v>0</v>
      </c>
      <c r="E394" s="124">
        <f>SUM(E393:E393)</f>
        <v>0</v>
      </c>
    </row>
    <row r="395" spans="2:26" hidden="1" x14ac:dyDescent="0.25">
      <c r="B395" s="198"/>
      <c r="C395" s="91"/>
      <c r="D395" s="200"/>
    </row>
    <row r="396" spans="2:26" s="50" customFormat="1" hidden="1" x14ac:dyDescent="0.25">
      <c r="B396" s="204" t="s">
        <v>227</v>
      </c>
      <c r="C396" s="205"/>
      <c r="D396" s="62" t="e">
        <f>IF(E396&gt;=0,"Aumento","Disminución")</f>
        <v>#DIV/0!</v>
      </c>
      <c r="E396" s="94" t="e">
        <f>+E394/D394</f>
        <v>#DIV/0!</v>
      </c>
      <c r="J396" s="54"/>
      <c r="N396" s="54"/>
      <c r="R396" s="55"/>
      <c r="S396" s="55"/>
      <c r="T396" s="55"/>
      <c r="U396" s="55"/>
      <c r="V396" s="55"/>
      <c r="W396" s="55"/>
      <c r="X396" s="55"/>
      <c r="Y396" s="55"/>
      <c r="Z396" s="54"/>
    </row>
    <row r="397" spans="2:26" s="50" customFormat="1" x14ac:dyDescent="0.25">
      <c r="B397" s="64"/>
      <c r="C397" s="64"/>
      <c r="D397" s="65"/>
      <c r="E397" s="66"/>
      <c r="J397" s="54"/>
      <c r="N397" s="54"/>
      <c r="R397" s="55"/>
      <c r="S397" s="55"/>
      <c r="T397" s="55"/>
      <c r="U397" s="55"/>
      <c r="V397" s="55"/>
      <c r="W397" s="55"/>
      <c r="X397" s="55"/>
      <c r="Y397" s="55"/>
      <c r="Z397" s="54"/>
    </row>
    <row r="398" spans="2:26" s="50" customFormat="1" x14ac:dyDescent="0.25">
      <c r="B398" s="64"/>
      <c r="C398" s="64"/>
      <c r="D398" s="65"/>
      <c r="E398" s="66"/>
      <c r="J398" s="54"/>
      <c r="N398" s="54"/>
      <c r="R398" s="55"/>
      <c r="S398" s="55"/>
      <c r="T398" s="55"/>
      <c r="U398" s="55"/>
      <c r="V398" s="55"/>
      <c r="W398" s="55"/>
      <c r="X398" s="55"/>
      <c r="Y398" s="55"/>
      <c r="Z398" s="54"/>
    </row>
    <row r="399" spans="2:26" s="50" customFormat="1" x14ac:dyDescent="0.25">
      <c r="B399" s="64"/>
      <c r="C399" s="64"/>
      <c r="D399" s="65"/>
      <c r="E399" s="66"/>
      <c r="J399" s="54"/>
      <c r="N399" s="54"/>
      <c r="R399" s="55"/>
      <c r="S399" s="55"/>
      <c r="T399" s="55"/>
      <c r="U399" s="55"/>
      <c r="V399" s="55"/>
      <c r="W399" s="55"/>
      <c r="X399" s="55"/>
      <c r="Y399" s="55"/>
      <c r="Z399" s="54"/>
    </row>
    <row r="400" spans="2:26" s="50" customFormat="1" x14ac:dyDescent="0.25">
      <c r="B400" s="64"/>
      <c r="C400" s="64"/>
      <c r="D400" s="65"/>
      <c r="E400" s="66"/>
      <c r="J400" s="54"/>
      <c r="N400" s="54"/>
      <c r="R400" s="55"/>
      <c r="S400" s="55"/>
      <c r="T400" s="55"/>
      <c r="U400" s="55"/>
      <c r="V400" s="55"/>
      <c r="W400" s="55"/>
      <c r="X400" s="55"/>
      <c r="Y400" s="55"/>
      <c r="Z400" s="54"/>
    </row>
    <row r="401" spans="2:26" s="50" customFormat="1" x14ac:dyDescent="0.25">
      <c r="B401" s="64"/>
      <c r="C401" s="64"/>
      <c r="D401" s="65"/>
      <c r="E401" s="66"/>
      <c r="J401" s="54"/>
      <c r="N401" s="54"/>
      <c r="R401" s="55"/>
      <c r="S401" s="55"/>
      <c r="T401" s="55"/>
      <c r="U401" s="55"/>
      <c r="V401" s="55"/>
      <c r="W401" s="55"/>
      <c r="X401" s="55"/>
      <c r="Y401" s="55"/>
      <c r="Z401" s="54"/>
    </row>
    <row r="402" spans="2:26" s="50" customFormat="1" x14ac:dyDescent="0.25">
      <c r="B402" s="64"/>
      <c r="C402" s="64"/>
      <c r="D402" s="65"/>
      <c r="E402" s="66"/>
      <c r="J402" s="54"/>
      <c r="N402" s="54"/>
      <c r="R402" s="55"/>
      <c r="S402" s="55"/>
      <c r="T402" s="55"/>
      <c r="U402" s="55"/>
      <c r="V402" s="55"/>
      <c r="W402" s="55"/>
      <c r="X402" s="55"/>
      <c r="Y402" s="55"/>
      <c r="Z402" s="54"/>
    </row>
    <row r="403" spans="2:26" s="50" customFormat="1" x14ac:dyDescent="0.25">
      <c r="B403" s="64"/>
      <c r="C403" s="64"/>
      <c r="D403" s="65"/>
      <c r="E403" s="66"/>
      <c r="J403" s="54"/>
      <c r="N403" s="54"/>
      <c r="R403" s="55"/>
      <c r="S403" s="55"/>
      <c r="T403" s="55"/>
      <c r="U403" s="55"/>
      <c r="V403" s="55"/>
      <c r="W403" s="55"/>
      <c r="X403" s="55"/>
      <c r="Y403" s="55"/>
      <c r="Z403" s="54"/>
    </row>
    <row r="404" spans="2:26" s="50" customFormat="1" x14ac:dyDescent="0.25">
      <c r="B404" s="64"/>
      <c r="C404" s="64"/>
      <c r="D404" s="65"/>
      <c r="E404" s="66"/>
      <c r="J404" s="54"/>
      <c r="N404" s="54"/>
      <c r="R404" s="55"/>
      <c r="S404" s="55"/>
      <c r="T404" s="55"/>
      <c r="U404" s="55"/>
      <c r="V404" s="55"/>
      <c r="W404" s="55"/>
      <c r="X404" s="55"/>
      <c r="Y404" s="55"/>
      <c r="Z404" s="54"/>
    </row>
    <row r="405" spans="2:26" s="50" customFormat="1" x14ac:dyDescent="0.25">
      <c r="B405" s="64"/>
      <c r="C405" s="64"/>
      <c r="D405" s="65"/>
      <c r="E405" s="66"/>
      <c r="J405" s="54"/>
      <c r="N405" s="54"/>
      <c r="R405" s="55"/>
      <c r="S405" s="55"/>
      <c r="T405" s="55"/>
      <c r="U405" s="55"/>
      <c r="V405" s="55"/>
      <c r="W405" s="55"/>
      <c r="X405" s="55"/>
      <c r="Y405" s="55"/>
      <c r="Z405" s="54"/>
    </row>
    <row r="406" spans="2:26" s="50" customFormat="1" x14ac:dyDescent="0.25">
      <c r="B406" s="64"/>
      <c r="C406" s="64"/>
      <c r="D406" s="65"/>
      <c r="E406" s="66"/>
      <c r="J406" s="54"/>
      <c r="N406" s="54"/>
      <c r="R406" s="55"/>
      <c r="S406" s="55"/>
      <c r="T406" s="55"/>
      <c r="U406" s="55"/>
      <c r="V406" s="55"/>
      <c r="W406" s="55"/>
      <c r="X406" s="55"/>
      <c r="Y406" s="55"/>
      <c r="Z406" s="54"/>
    </row>
    <row r="407" spans="2:26" s="50" customFormat="1" x14ac:dyDescent="0.25">
      <c r="B407" s="64"/>
      <c r="C407" s="64"/>
      <c r="D407" s="65"/>
      <c r="E407" s="66"/>
      <c r="J407" s="54"/>
      <c r="N407" s="54"/>
      <c r="R407" s="55"/>
      <c r="S407" s="55"/>
      <c r="T407" s="55"/>
      <c r="U407" s="55"/>
      <c r="V407" s="55"/>
      <c r="W407" s="55"/>
      <c r="X407" s="55"/>
      <c r="Y407" s="55"/>
      <c r="Z407" s="54"/>
    </row>
    <row r="408" spans="2:26" s="50" customFormat="1" x14ac:dyDescent="0.25">
      <c r="B408" s="64"/>
      <c r="C408" s="64"/>
      <c r="D408" s="65"/>
      <c r="E408" s="66"/>
      <c r="J408" s="54"/>
      <c r="N408" s="54"/>
      <c r="R408" s="55"/>
      <c r="S408" s="55"/>
      <c r="T408" s="55"/>
      <c r="U408" s="55"/>
      <c r="V408" s="55"/>
      <c r="W408" s="55"/>
      <c r="X408" s="55"/>
      <c r="Y408" s="55"/>
      <c r="Z408" s="54"/>
    </row>
    <row r="409" spans="2:26" s="50" customFormat="1" ht="17.25" customHeight="1" x14ac:dyDescent="0.25">
      <c r="B409" s="64" t="s">
        <v>228</v>
      </c>
      <c r="C409" s="64"/>
      <c r="D409" s="65"/>
      <c r="E409" s="66"/>
      <c r="J409" s="54"/>
      <c r="N409" s="54"/>
      <c r="R409" s="55"/>
      <c r="S409" s="55"/>
      <c r="T409" s="55"/>
      <c r="U409" s="55"/>
      <c r="V409" s="55"/>
      <c r="W409" s="55"/>
      <c r="X409" s="55"/>
      <c r="Y409" s="55"/>
      <c r="Z409" s="54"/>
    </row>
    <row r="410" spans="2:26" s="50" customFormat="1" ht="17.25" customHeight="1" x14ac:dyDescent="0.25">
      <c r="B410" s="64" t="s">
        <v>229</v>
      </c>
      <c r="C410" s="64"/>
      <c r="D410" s="65"/>
      <c r="E410" s="66"/>
      <c r="J410" s="54"/>
      <c r="N410" s="54"/>
      <c r="R410" s="55"/>
      <c r="S410" s="55"/>
      <c r="T410" s="55"/>
      <c r="U410" s="55"/>
      <c r="V410" s="55"/>
      <c r="W410" s="55"/>
      <c r="X410" s="55"/>
      <c r="Y410" s="55"/>
      <c r="Z410" s="54"/>
    </row>
    <row r="411" spans="2:26" x14ac:dyDescent="0.25">
      <c r="B411" s="68" t="s">
        <v>230</v>
      </c>
    </row>
    <row r="412" spans="2:26" ht="20.25" customHeight="1" x14ac:dyDescent="0.25">
      <c r="B412" s="14" t="str">
        <f>("Un detalle de las  "&amp;B411&amp;" al "&amp;[1]BALANZA!$B$3&amp;" "&amp;[1]BALANZA!$C$3&amp;" es como se detalla a continuación:")</f>
        <v>Un detalle de las  Acumulaciones por pagar al 30 de Septiembre del 2024 - 2023 es como se detalla a continuación:</v>
      </c>
      <c r="C412" s="37"/>
      <c r="D412" s="37"/>
      <c r="E412" s="37"/>
    </row>
    <row r="413" spans="2:26" ht="36" customHeight="1" x14ac:dyDescent="0.25">
      <c r="B413" s="20" t="str">
        <f>("Las acumulaciones por pagar para el "&amp;C415&amp;" el total era RD$ "&amp;R419&amp;" y para el "&amp;D415&amp;" el total fue de RD$ "&amp;R420&amp;" , Según el siguiente detalle:")</f>
        <v>Las acumulaciones por pagar para el 2024 el total era RD$ 252,299.30 y para el 2023 el total fue de RD$ 252,299.30 , Según el siguiente detalle:</v>
      </c>
      <c r="C413" s="20"/>
      <c r="D413" s="20"/>
      <c r="E413" s="20"/>
    </row>
    <row r="414" spans="2:26" ht="9" customHeight="1" x14ac:dyDescent="0.25">
      <c r="B414" s="206"/>
      <c r="C414" s="206"/>
      <c r="D414" s="206"/>
      <c r="E414" s="206"/>
    </row>
    <row r="415" spans="2:26" x14ac:dyDescent="0.25">
      <c r="B415" s="194" t="s">
        <v>217</v>
      </c>
      <c r="C415" s="181">
        <f>+C139</f>
        <v>2024</v>
      </c>
      <c r="D415" s="181">
        <f>+D139</f>
        <v>2023</v>
      </c>
      <c r="E415" s="195" t="s">
        <v>218</v>
      </c>
    </row>
    <row r="416" spans="2:26" x14ac:dyDescent="0.25">
      <c r="B416" s="162" t="s">
        <v>231</v>
      </c>
      <c r="C416" s="97">
        <f>+'[1]BALANZA G'!C106+'[1]BALANZA G'!C107</f>
        <v>252299.3</v>
      </c>
      <c r="D416" s="97">
        <f>+'[1]BALANZA G'!D106+'[1]BALANZA G'!D107</f>
        <v>252299.3</v>
      </c>
      <c r="E416" s="49">
        <f>+C416-D416</f>
        <v>0</v>
      </c>
    </row>
    <row r="417" spans="2:26" ht="14.25" customHeight="1" x14ac:dyDescent="0.25">
      <c r="B417" s="162" t="s">
        <v>232</v>
      </c>
      <c r="C417" s="97">
        <f>+'[1]BALANZA G'!C96+'[1]BALANZA G'!C97</f>
        <v>0</v>
      </c>
      <c r="D417" s="97">
        <f>+'[1]BALANZA G'!D96+'[1]BALANZA G'!D97</f>
        <v>0</v>
      </c>
      <c r="E417" s="49">
        <f>+C417-D417</f>
        <v>0</v>
      </c>
    </row>
    <row r="418" spans="2:26" hidden="1" x14ac:dyDescent="0.25">
      <c r="B418" s="162"/>
      <c r="C418" s="97"/>
      <c r="D418" s="97"/>
      <c r="E418" s="49"/>
    </row>
    <row r="419" spans="2:26" x14ac:dyDescent="0.25">
      <c r="B419" s="194" t="s">
        <v>233</v>
      </c>
      <c r="C419" s="197">
        <f>SUM(C416:C418)</f>
        <v>252299.3</v>
      </c>
      <c r="D419" s="197">
        <f>SUM(D416:D418)</f>
        <v>252299.3</v>
      </c>
      <c r="E419" s="197">
        <f>SUM(E416:E418)</f>
        <v>0</v>
      </c>
      <c r="R419" s="4" t="str">
        <f>+CONCATENATE(T419,",",U419,"",V419,"0")</f>
        <v>252,299.30</v>
      </c>
      <c r="T419" s="4" t="str">
        <f>MID(C419,1,3)</f>
        <v>252</v>
      </c>
      <c r="U419" s="4" t="str">
        <f>MID(C419,4,3)</f>
        <v>299</v>
      </c>
      <c r="V419" s="4" t="str">
        <f>MID(C419,7,3)</f>
        <v>.3</v>
      </c>
    </row>
    <row r="420" spans="2:26" ht="10.5" customHeight="1" x14ac:dyDescent="0.25">
      <c r="B420" s="198"/>
      <c r="C420" s="100">
        <f>+C419-'[1]ES F '!B36+C436</f>
        <v>0</v>
      </c>
      <c r="D420" s="200"/>
      <c r="R420" s="4" t="str">
        <f>+CONCATENATE(S420,",",T420,U420,V420,AB420,"0")</f>
        <v>252,299.30</v>
      </c>
      <c r="S420" s="4" t="str">
        <f>MID(D419,1,3)</f>
        <v>252</v>
      </c>
      <c r="T420" s="4" t="str">
        <f>MID(D419,4,3)</f>
        <v>299</v>
      </c>
      <c r="U420" s="4" t="str">
        <f>MID(D419,7,3)</f>
        <v>.3</v>
      </c>
    </row>
    <row r="421" spans="2:26" s="50" customFormat="1" x14ac:dyDescent="0.25">
      <c r="B421" s="60" t="str">
        <f>("Cambio porcentual con relación al "&amp;$D$117&amp;".")</f>
        <v>Cambio porcentual con relación al 2023.</v>
      </c>
      <c r="C421" s="61"/>
      <c r="D421" s="62" t="str">
        <f>IF(E421&gt;=0,"Aumento","Disminución")</f>
        <v>Aumento</v>
      </c>
      <c r="E421" s="94">
        <f>+E419/D419</f>
        <v>0</v>
      </c>
      <c r="J421" s="54"/>
      <c r="N421" s="54"/>
      <c r="R421" s="55"/>
      <c r="S421" s="55"/>
      <c r="T421" s="55"/>
      <c r="U421" s="55"/>
      <c r="V421" s="55"/>
      <c r="W421" s="55"/>
      <c r="X421" s="55"/>
      <c r="Y421" s="55"/>
      <c r="Z421" s="54"/>
    </row>
    <row r="422" spans="2:26" s="50" customFormat="1" ht="6" customHeight="1" x14ac:dyDescent="0.25">
      <c r="B422" s="64"/>
      <c r="C422" s="64"/>
      <c r="D422" s="65"/>
      <c r="E422" s="66"/>
      <c r="J422" s="54"/>
      <c r="N422" s="54"/>
      <c r="R422" s="55"/>
      <c r="S422" s="55"/>
      <c r="T422" s="55"/>
      <c r="U422" s="55"/>
      <c r="V422" s="55"/>
      <c r="W422" s="55"/>
      <c r="X422" s="55"/>
      <c r="Y422" s="55"/>
      <c r="Z422" s="54"/>
    </row>
    <row r="423" spans="2:26" ht="14.25" customHeight="1" x14ac:dyDescent="0.25">
      <c r="B423" s="68" t="s">
        <v>234</v>
      </c>
      <c r="C423" s="201"/>
      <c r="D423" s="201"/>
      <c r="E423" s="201"/>
    </row>
    <row r="424" spans="2:26" ht="24.75" customHeight="1" x14ac:dyDescent="0.25">
      <c r="B424" s="14" t="str">
        <f>("Un detalle de las "&amp;B423&amp;" al "&amp;[1]BALANZA!$B$3&amp;" "&amp;[1]BALANZA!$C$3&amp;" es como se detalla a continuación:")</f>
        <v>Un detalle de las Retenciones por pagar al 30 de Septiembre del 2024 - 2023 es como se detalla a continuación:</v>
      </c>
      <c r="C424" s="37"/>
      <c r="D424" s="37"/>
      <c r="E424" s="37"/>
    </row>
    <row r="425" spans="2:26" ht="29.25" customHeight="1" x14ac:dyDescent="0.25">
      <c r="B425" s="20" t="str">
        <f>("Las  retenciones impositivas  por pagar  para el "&amp;C428&amp;" el total era RD$ "&amp;R436&amp;" y para el "&amp;D428&amp;" el total fue de RD$ "&amp;R437&amp;" , Según el siguiente detalle:")</f>
        <v>Las  retenciones impositivas  por pagar  para el 2024 el total era RD$ 249,425.64 y para el 2023 el total fue de RD$ 580,529.46 , Según el siguiente detalle:</v>
      </c>
      <c r="C425" s="20"/>
      <c r="D425" s="20"/>
      <c r="E425" s="20"/>
    </row>
    <row r="426" spans="2:26" ht="6" customHeight="1" x14ac:dyDescent="0.25">
      <c r="B426" s="68"/>
      <c r="C426" s="201"/>
      <c r="D426" s="201"/>
      <c r="E426" s="201"/>
    </row>
    <row r="427" spans="2:26" ht="9.75" customHeight="1" x14ac:dyDescent="0.25">
      <c r="B427" s="68"/>
      <c r="C427" s="201"/>
      <c r="D427" s="201"/>
      <c r="E427" s="201"/>
    </row>
    <row r="428" spans="2:26" ht="17.25" customHeight="1" x14ac:dyDescent="0.25">
      <c r="B428" s="194" t="s">
        <v>217</v>
      </c>
      <c r="C428" s="181">
        <f>+C415</f>
        <v>2024</v>
      </c>
      <c r="D428" s="181">
        <f>+D415</f>
        <v>2023</v>
      </c>
      <c r="E428" s="207" t="s">
        <v>218</v>
      </c>
    </row>
    <row r="429" spans="2:26" ht="17.25" hidden="1" customHeight="1" x14ac:dyDescent="0.25">
      <c r="B429" s="119" t="s">
        <v>235</v>
      </c>
      <c r="C429" s="88">
        <f>+'[1]BALANZA G'!C86</f>
        <v>0</v>
      </c>
      <c r="D429" s="97">
        <f>+'[1]BALANZA G'!D86</f>
        <v>0</v>
      </c>
      <c r="E429" s="87">
        <f>+C429-D429</f>
        <v>0</v>
      </c>
    </row>
    <row r="430" spans="2:26" ht="17.25" hidden="1" customHeight="1" x14ac:dyDescent="0.25">
      <c r="B430" s="119" t="s">
        <v>236</v>
      </c>
      <c r="C430" s="88">
        <f>+'[1]BALANZA G'!C88</f>
        <v>0</v>
      </c>
      <c r="D430" s="97">
        <f>+'[1]BALANZA G'!D88</f>
        <v>0</v>
      </c>
      <c r="E430" s="87">
        <f t="shared" ref="E430:E435" si="2">+C430-D430</f>
        <v>0</v>
      </c>
    </row>
    <row r="431" spans="2:26" ht="17.25" customHeight="1" x14ac:dyDescent="0.25">
      <c r="B431" s="119" t="s">
        <v>237</v>
      </c>
      <c r="C431" s="88">
        <f>+'[1]BALANZA G'!C89</f>
        <v>172.63</v>
      </c>
      <c r="D431" s="97">
        <f>+'[1]BALANZA G'!D89</f>
        <v>0</v>
      </c>
      <c r="E431" s="87">
        <f t="shared" si="2"/>
        <v>172.63</v>
      </c>
    </row>
    <row r="432" spans="2:26" ht="17.25" customHeight="1" x14ac:dyDescent="0.25">
      <c r="B432" s="119" t="s">
        <v>238</v>
      </c>
      <c r="C432" s="88">
        <f>+'[1]BALANZA G'!C90</f>
        <v>0</v>
      </c>
      <c r="D432" s="97">
        <f>+'[1]BALANZA G'!D90</f>
        <v>95474.43</v>
      </c>
      <c r="E432" s="87">
        <f t="shared" si="2"/>
        <v>-95474.43</v>
      </c>
    </row>
    <row r="433" spans="2:28" ht="17.25" customHeight="1" x14ac:dyDescent="0.25">
      <c r="B433" s="119" t="s">
        <v>239</v>
      </c>
      <c r="C433" s="88">
        <f>+'[1]BALANZA G'!C91</f>
        <v>0.01</v>
      </c>
      <c r="D433" s="97">
        <f>+'[1]BALANZA G'!D91</f>
        <v>54758.709999999992</v>
      </c>
      <c r="E433" s="87">
        <f t="shared" si="2"/>
        <v>-54758.69999999999</v>
      </c>
    </row>
    <row r="434" spans="2:28" ht="15" customHeight="1" x14ac:dyDescent="0.25">
      <c r="B434" s="119" t="s">
        <v>240</v>
      </c>
      <c r="C434" s="88">
        <f>+'[1]BALANZA G'!C92+'[1]BALANZA G'!C87</f>
        <v>3605.1</v>
      </c>
      <c r="D434" s="88">
        <f>+'[1]BALANZA G'!D92+'[1]BALANZA G'!D87</f>
        <v>6174.31</v>
      </c>
      <c r="E434" s="87">
        <f t="shared" si="2"/>
        <v>-2569.2100000000005</v>
      </c>
    </row>
    <row r="435" spans="2:28" ht="17.25" customHeight="1" x14ac:dyDescent="0.25">
      <c r="B435" s="119" t="s">
        <v>241</v>
      </c>
      <c r="C435" s="88">
        <f>+'[1]BALANZA G'!C93</f>
        <v>245647.9</v>
      </c>
      <c r="D435" s="97">
        <f>+'[1]BALANZA G'!D93</f>
        <v>424122.01</v>
      </c>
      <c r="E435" s="87">
        <f t="shared" si="2"/>
        <v>-178474.11000000002</v>
      </c>
    </row>
    <row r="436" spans="2:28" ht="17.25" customHeight="1" x14ac:dyDescent="0.25">
      <c r="B436" s="194" t="s">
        <v>242</v>
      </c>
      <c r="C436" s="124">
        <f>SUM(C429:C435)</f>
        <v>249425.63999999998</v>
      </c>
      <c r="D436" s="197">
        <f>SUM(D429:D435)</f>
        <v>580529.46</v>
      </c>
      <c r="E436" s="124">
        <f>SUM(E429:E435)</f>
        <v>-331103.81999999995</v>
      </c>
      <c r="R436" s="4" t="str">
        <f>+CONCATENATE(T436,",",U436,"",V436,AB436)</f>
        <v>249,425.64</v>
      </c>
      <c r="T436" s="4" t="str">
        <f>MID(C436,1,3)</f>
        <v>249</v>
      </c>
      <c r="U436" s="4" t="str">
        <f>MID(C436,4,3)</f>
        <v>425</v>
      </c>
      <c r="V436" s="4" t="str">
        <f>MID(C436,7,3)</f>
        <v>.64</v>
      </c>
      <c r="Z436" s="2"/>
      <c r="AA436" s="2" t="str">
        <f>MID(H436,7,3)</f>
        <v/>
      </c>
      <c r="AB436" s="2" t="str">
        <f>MID(C436,10,3)</f>
        <v/>
      </c>
    </row>
    <row r="437" spans="2:28" ht="6" customHeight="1" x14ac:dyDescent="0.25">
      <c r="B437" s="198"/>
      <c r="C437" s="100">
        <f>+C436-'[1]ES F '!B36+C419</f>
        <v>0</v>
      </c>
      <c r="D437" s="200"/>
      <c r="R437" s="4" t="str">
        <f>+CONCATENATE(S437,,T437,",",U437,V437,AB437)</f>
        <v>580,529.46</v>
      </c>
      <c r="T437" s="4" t="str">
        <f>MID(D436,1,3)</f>
        <v>580</v>
      </c>
      <c r="U437" s="4" t="str">
        <f>MID(D436,4,3)</f>
        <v>529</v>
      </c>
      <c r="V437" s="4" t="str">
        <f>MID(D436,7,3)</f>
        <v>.46</v>
      </c>
      <c r="W437" s="4" t="str">
        <f>MID(H436,1,3)</f>
        <v/>
      </c>
      <c r="X437" s="4" t="str">
        <f>MID(I436,1,3)</f>
        <v/>
      </c>
      <c r="Y437" s="4" t="str">
        <f>MID(J436,1,3)</f>
        <v/>
      </c>
      <c r="Z437" s="2"/>
      <c r="AA437" s="2" t="str">
        <f>MID(L436,1,3)</f>
        <v/>
      </c>
      <c r="AB437" s="2" t="str">
        <f>MID(D436,11,3)</f>
        <v/>
      </c>
    </row>
    <row r="438" spans="2:28" ht="14.25" customHeight="1" x14ac:dyDescent="0.25">
      <c r="B438" s="60" t="str">
        <f>("Cambio porcentual con relación al "&amp;$D$117&amp;".")</f>
        <v>Cambio porcentual con relación al 2023.</v>
      </c>
      <c r="C438" s="61"/>
      <c r="D438" s="62" t="str">
        <f>IF(E438&gt;=0,"Aumento","Disminución")</f>
        <v>Disminución</v>
      </c>
      <c r="E438" s="94">
        <f>+E436/D436</f>
        <v>-0.57034800611152436</v>
      </c>
    </row>
    <row r="439" spans="2:28" ht="7.5" customHeight="1" x14ac:dyDescent="0.25">
      <c r="B439" s="201"/>
      <c r="C439" s="201"/>
      <c r="D439" s="201"/>
      <c r="E439" s="201"/>
    </row>
    <row r="440" spans="2:28" ht="16.5" customHeight="1" x14ac:dyDescent="0.25">
      <c r="B440" s="208" t="s">
        <v>243</v>
      </c>
      <c r="C440" s="209">
        <f>+C436+C419</f>
        <v>501724.93999999994</v>
      </c>
      <c r="D440" s="209">
        <f>+D436+D419</f>
        <v>832828.76</v>
      </c>
      <c r="E440" s="124">
        <f>SUM(E433:E439)</f>
        <v>-566906.41034800606</v>
      </c>
    </row>
    <row r="441" spans="2:28" ht="14.25" customHeight="1" x14ac:dyDescent="0.25">
      <c r="B441" s="201"/>
      <c r="C441" s="201"/>
      <c r="D441" s="201"/>
      <c r="E441" s="201"/>
    </row>
    <row r="442" spans="2:28" ht="14.25" customHeight="1" x14ac:dyDescent="0.25">
      <c r="B442" s="68" t="s">
        <v>244</v>
      </c>
      <c r="C442" s="201"/>
      <c r="D442" s="201"/>
      <c r="E442" s="201"/>
    </row>
    <row r="443" spans="2:28" ht="19.5" customHeight="1" x14ac:dyDescent="0.25">
      <c r="B443" s="68" t="s">
        <v>245</v>
      </c>
      <c r="C443" s="201"/>
      <c r="D443" s="36"/>
      <c r="E443" s="201"/>
    </row>
    <row r="444" spans="2:28" ht="26.25" customHeight="1" x14ac:dyDescent="0.25">
      <c r="B444" s="14" t="str">
        <f>("Un detalle del "&amp;B443&amp;" al "&amp;[1]BALANZA!$B$3&amp;" "&amp;[1]BALANZA!$C$3&amp;" es como se detalla a continuación:")</f>
        <v>Un detalle del Activos Netos/Patrimonio al 30 de Septiembre del 2024 - 2023 es como se detalla a continuación:</v>
      </c>
      <c r="C444" s="37"/>
      <c r="D444" s="37"/>
      <c r="E444" s="37"/>
    </row>
    <row r="445" spans="2:28" ht="38.25" customHeight="1" x14ac:dyDescent="0.25">
      <c r="B445" s="210" t="str">
        <f>("El patrimonio institucional  para el "&amp;C447&amp;" tenia monto por RD$ "&amp;R452&amp;" y para el "&amp;D447&amp;" el monto fue de RD$ "&amp;R453&amp;" y está conformado con las siguientes partidas: ")</f>
        <v xml:space="preserve">El patrimonio institucional  para el 2024 tenia monto por RD$ 1,109,930,167.96 y para el 2023 el monto fue de RD$ 1,044,940,074.58 y está conformado con las siguientes partidas: </v>
      </c>
      <c r="C445" s="20"/>
      <c r="D445" s="20"/>
      <c r="E445" s="20"/>
    </row>
    <row r="446" spans="2:28" ht="9.75" customHeight="1" x14ac:dyDescent="0.25">
      <c r="B446" s="13"/>
    </row>
    <row r="447" spans="2:28" x14ac:dyDescent="0.25">
      <c r="B447" s="194" t="s">
        <v>217</v>
      </c>
      <c r="C447" s="38">
        <f>+C594</f>
        <v>2024</v>
      </c>
      <c r="D447" s="38">
        <f>+D594</f>
        <v>2023</v>
      </c>
      <c r="E447" s="207" t="s">
        <v>218</v>
      </c>
    </row>
    <row r="448" spans="2:28" x14ac:dyDescent="0.25">
      <c r="B448" s="211" t="s">
        <v>246</v>
      </c>
      <c r="C448" s="212">
        <f>+'[1]BALANZA G'!C119</f>
        <v>808793054.60000002</v>
      </c>
      <c r="D448" s="212">
        <f>+'[1]BALANZA G'!D119</f>
        <v>808793054.60000002</v>
      </c>
      <c r="E448" s="49">
        <f>+C448-D448</f>
        <v>0</v>
      </c>
      <c r="U448" s="213"/>
    </row>
    <row r="449" spans="2:27" x14ac:dyDescent="0.25">
      <c r="B449" s="211" t="s">
        <v>247</v>
      </c>
      <c r="C449" s="214">
        <f>+D451+D450+D449</f>
        <v>236147019.98000008</v>
      </c>
      <c r="D449" s="214">
        <v>324395677.65000004</v>
      </c>
      <c r="E449" s="49">
        <f>+C449-D449</f>
        <v>-88248657.669999957</v>
      </c>
      <c r="I449" s="96"/>
      <c r="U449" s="213"/>
    </row>
    <row r="450" spans="2:27" x14ac:dyDescent="0.25">
      <c r="B450" s="42" t="s">
        <v>248</v>
      </c>
      <c r="C450" s="214">
        <f>+[1]BALANZA!B6</f>
        <v>0</v>
      </c>
      <c r="D450" s="214">
        <v>149428.04999999999</v>
      </c>
      <c r="E450" s="49">
        <f>+C450-D450</f>
        <v>-149428.04999999999</v>
      </c>
      <c r="I450" s="96"/>
      <c r="U450" s="213"/>
      <c r="Z450" s="2"/>
    </row>
    <row r="451" spans="2:27" x14ac:dyDescent="0.25">
      <c r="B451" s="42" t="s">
        <v>249</v>
      </c>
      <c r="C451" s="214">
        <f>+[1]ERF!B35</f>
        <v>64990093.379999995</v>
      </c>
      <c r="D451" s="214">
        <f>+[1]ERF!C30</f>
        <v>-88398085.719999969</v>
      </c>
      <c r="E451" s="49">
        <f>+C451-D451</f>
        <v>153388179.09999996</v>
      </c>
      <c r="I451" s="96"/>
      <c r="U451" s="213"/>
      <c r="Z451" s="54"/>
    </row>
    <row r="452" spans="2:27" x14ac:dyDescent="0.25">
      <c r="B452" s="89" t="s">
        <v>250</v>
      </c>
      <c r="C452" s="215">
        <f>SUM(C448:C451)</f>
        <v>1109930167.96</v>
      </c>
      <c r="D452" s="215">
        <f>SUM(D448:D451)</f>
        <v>1044940074.5799999</v>
      </c>
      <c r="E452" s="215">
        <f>SUM(E448:E451)</f>
        <v>64990093.38000001</v>
      </c>
      <c r="I452" s="96"/>
      <c r="R452" s="4" t="str">
        <f>+CONCATENATE(S452,",",T452,",",U452,",",V452,W452)</f>
        <v>1,109,930,167.96</v>
      </c>
      <c r="S452" s="4" t="str">
        <f>MID(C452,1,1)</f>
        <v>1</v>
      </c>
      <c r="T452" s="4" t="str">
        <f>MID(C452,2,3)</f>
        <v>109</v>
      </c>
      <c r="U452" s="4" t="str">
        <f>MID(C452,5,3)</f>
        <v>930</v>
      </c>
      <c r="V452" s="4" t="str">
        <f>MID(C452,8,3)</f>
        <v>167</v>
      </c>
      <c r="W452" s="4" t="str">
        <f>MID(C452,11,3)</f>
        <v>.96</v>
      </c>
      <c r="Z452" s="2"/>
      <c r="AA452" s="2" t="str">
        <f>MID(H452,7,3)</f>
        <v/>
      </c>
    </row>
    <row r="453" spans="2:27" x14ac:dyDescent="0.25">
      <c r="B453" s="216"/>
      <c r="C453" s="217">
        <f>+C452-'[1]ES F '!B59</f>
        <v>0</v>
      </c>
      <c r="D453" s="217">
        <f>+D452-'[1]ES F '!C59</f>
        <v>0</v>
      </c>
      <c r="E453" s="218"/>
      <c r="R453" s="4" t="str">
        <f>+CONCATENATE(S453,",",T453,",",U453,",",V453,W453)</f>
        <v>1,044,940,074.58</v>
      </c>
      <c r="S453" s="4" t="str">
        <f>MID(D452,1,1)</f>
        <v>1</v>
      </c>
      <c r="T453" s="4" t="str">
        <f>MID(D452,2,3)</f>
        <v>044</v>
      </c>
      <c r="U453" s="4" t="str">
        <f>MID(D452,5,3)</f>
        <v>940</v>
      </c>
      <c r="V453" s="4" t="str">
        <f>MID(D452,8,3)</f>
        <v>074</v>
      </c>
      <c r="W453" s="4" t="str">
        <f>MID(D452,11,3)</f>
        <v>.58</v>
      </c>
      <c r="X453" s="4" t="str">
        <f>MID(I452,1,3)</f>
        <v/>
      </c>
      <c r="AA453" s="2" t="str">
        <f>MID(L452,1,3)</f>
        <v/>
      </c>
    </row>
    <row r="454" spans="2:27" s="50" customFormat="1" x14ac:dyDescent="0.25">
      <c r="B454" s="60" t="str">
        <f>("Cambio porcentual con relación al "&amp;$D$117&amp;".")</f>
        <v>Cambio porcentual con relación al 2023.</v>
      </c>
      <c r="C454" s="61"/>
      <c r="D454" s="62" t="str">
        <f>IF(E454&gt;=0,"Aumento","Disminución")</f>
        <v>Aumento</v>
      </c>
      <c r="E454" s="94">
        <f>+E452/D452</f>
        <v>6.2195043487179809E-2</v>
      </c>
      <c r="J454" s="54"/>
      <c r="N454" s="54"/>
      <c r="R454" s="55"/>
      <c r="S454" s="55"/>
      <c r="T454" s="55"/>
      <c r="U454" s="55"/>
      <c r="V454" s="55"/>
      <c r="W454" s="55"/>
      <c r="X454" s="55"/>
      <c r="Y454" s="55"/>
    </row>
    <row r="455" spans="2:27" ht="21" customHeight="1" x14ac:dyDescent="0.25">
      <c r="B455" s="219" t="s">
        <v>251</v>
      </c>
      <c r="C455" s="219"/>
      <c r="D455" s="219"/>
      <c r="E455" s="219"/>
    </row>
    <row r="456" spans="2:27" ht="15" customHeight="1" x14ac:dyDescent="0.25">
      <c r="B456" s="220"/>
      <c r="C456" s="220"/>
      <c r="D456" s="220"/>
      <c r="E456" s="220"/>
    </row>
    <row r="457" spans="2:27" ht="13.5" customHeight="1" x14ac:dyDescent="0.25">
      <c r="B457" s="220"/>
      <c r="C457" s="220"/>
      <c r="D457" s="220"/>
      <c r="E457" s="220"/>
    </row>
    <row r="458" spans="2:27" ht="31.5" customHeight="1" x14ac:dyDescent="0.25">
      <c r="B458" s="220"/>
      <c r="C458" s="220"/>
      <c r="D458" s="220"/>
      <c r="E458" s="220"/>
    </row>
    <row r="459" spans="2:27" ht="12" customHeight="1" x14ac:dyDescent="0.25">
      <c r="B459" s="220"/>
      <c r="C459" s="220"/>
      <c r="D459" s="220"/>
      <c r="E459" s="220"/>
    </row>
    <row r="460" spans="2:27" ht="12" customHeight="1" x14ac:dyDescent="0.25">
      <c r="B460" s="220"/>
      <c r="C460" s="220"/>
      <c r="D460" s="220"/>
      <c r="E460" s="220"/>
    </row>
    <row r="461" spans="2:27" ht="12" customHeight="1" x14ac:dyDescent="0.25">
      <c r="B461" s="84"/>
    </row>
    <row r="462" spans="2:27" ht="13.5" customHeight="1" x14ac:dyDescent="0.25">
      <c r="B462" s="68" t="s">
        <v>252</v>
      </c>
    </row>
    <row r="463" spans="2:27" x14ac:dyDescent="0.25">
      <c r="B463" s="68" t="s">
        <v>253</v>
      </c>
    </row>
    <row r="464" spans="2:27" ht="39.75" customHeight="1" x14ac:dyDescent="0.25">
      <c r="B464" s="14" t="str">
        <f>("Un detalle del "&amp;B463&amp;" al "&amp;[1]BALANZA!$B$3&amp;" "&amp;[1]BALANZA!$C$3&amp;" es como se detalla a continuación:")</f>
        <v>Un detalle del Ingresos por transacciones con contraprestaciones al 30 de Septiembre del 2024 - 2023 es como se detalla a continuación:</v>
      </c>
      <c r="C464" s="37"/>
      <c r="D464" s="37"/>
      <c r="E464" s="37"/>
    </row>
    <row r="465" spans="2:26" ht="42.75" customHeight="1" x14ac:dyDescent="0.25">
      <c r="B465" s="210" t="str">
        <f>("Los ingresos recibidos por cobros de  servicios de aguas potable y saneamiento (APS) para en el  "&amp;C468&amp;" es RD$ "&amp;R471&amp;" y del "&amp;D468&amp;" es RD$ "&amp;R472&amp;" :")</f>
        <v>Los ingresos recibidos por cobros de  servicios de aguas potable y saneamiento (APS) para en el  2024 es RD$ 133,618,055.93 y del 2023 es RD$ 180,816,067.20 :</v>
      </c>
      <c r="C465" s="210"/>
      <c r="D465" s="210"/>
      <c r="E465" s="210"/>
    </row>
    <row r="466" spans="2:26" x14ac:dyDescent="0.25">
      <c r="B466" s="221"/>
    </row>
    <row r="467" spans="2:26" x14ac:dyDescent="0.25">
      <c r="B467" s="194"/>
      <c r="C467" s="222" t="s">
        <v>254</v>
      </c>
      <c r="D467" s="222"/>
      <c r="E467" s="223"/>
    </row>
    <row r="468" spans="2:26" x14ac:dyDescent="0.25">
      <c r="B468" s="194" t="s">
        <v>217</v>
      </c>
      <c r="C468" s="224">
        <f>+C139</f>
        <v>2024</v>
      </c>
      <c r="D468" s="224">
        <f>+D139</f>
        <v>2023</v>
      </c>
      <c r="E468" s="195" t="s">
        <v>218</v>
      </c>
    </row>
    <row r="469" spans="2:26" x14ac:dyDescent="0.25">
      <c r="B469" s="162" t="s">
        <v>255</v>
      </c>
      <c r="C469" s="225">
        <f>+'[1]BALANZA G'!C127-C470</f>
        <v>133606439.56999999</v>
      </c>
      <c r="D469" s="148">
        <f>+'[1]BALANZA G'!D127-D470</f>
        <v>180792834.47999999</v>
      </c>
      <c r="E469" s="87">
        <f>+C469-D469</f>
        <v>-47186394.909999996</v>
      </c>
      <c r="H469" s="96"/>
    </row>
    <row r="470" spans="2:26" x14ac:dyDescent="0.25">
      <c r="B470" s="162" t="s">
        <v>256</v>
      </c>
      <c r="C470" s="225">
        <f>1936.06*6</f>
        <v>11616.36</v>
      </c>
      <c r="D470" s="225">
        <f>1936.06*12</f>
        <v>23232.720000000001</v>
      </c>
      <c r="E470" s="87">
        <f>+C470-D470</f>
        <v>-11616.36</v>
      </c>
      <c r="H470" s="96"/>
    </row>
    <row r="471" spans="2:26" ht="28.5" x14ac:dyDescent="0.25">
      <c r="B471" s="226" t="s">
        <v>257</v>
      </c>
      <c r="C471" s="227">
        <f>SUM(C469:C470)</f>
        <v>133618055.92999999</v>
      </c>
      <c r="D471" s="228">
        <f>SUM(D469:D470)</f>
        <v>180816067.19999999</v>
      </c>
      <c r="E471" s="227">
        <f>SUM(E469:E469)</f>
        <v>-47186394.909999996</v>
      </c>
      <c r="H471" s="96"/>
      <c r="R471" s="4" t="str">
        <f>+CONCATENATE(S471,",",T471,",",U471,V471,"")</f>
        <v>133,618,055.93</v>
      </c>
      <c r="S471" s="4" t="str">
        <f>MID(C471,1,3)</f>
        <v>133</v>
      </c>
      <c r="T471" s="4" t="str">
        <f>MID(C471,4,3)</f>
        <v>618</v>
      </c>
      <c r="U471" s="4" t="str">
        <f>MID(C471,7,3)</f>
        <v>055</v>
      </c>
      <c r="V471" s="4" t="str">
        <f>MID(C471,10,3)</f>
        <v>.93</v>
      </c>
    </row>
    <row r="472" spans="2:26" x14ac:dyDescent="0.25">
      <c r="B472" s="229"/>
      <c r="C472" s="230">
        <f>+C471-[1]ERF!B11-[1]ERF!B13</f>
        <v>0</v>
      </c>
      <c r="D472" s="231"/>
      <c r="E472" s="232"/>
      <c r="H472" s="96"/>
      <c r="R472" s="4" t="str">
        <f>+CONCATENATE(S472,",",T472,",",U472,V472,AB472,"0")</f>
        <v>180,816,067.20</v>
      </c>
      <c r="S472" s="4" t="str">
        <f>MID(D471,1,3)</f>
        <v>180</v>
      </c>
      <c r="T472" s="4" t="str">
        <f>MID(D471,4,3)</f>
        <v>816</v>
      </c>
      <c r="U472" s="4" t="str">
        <f>MID(D471,7,3)</f>
        <v>067</v>
      </c>
      <c r="V472" s="4" t="str">
        <f>MID(D471,10,3)</f>
        <v>.2</v>
      </c>
    </row>
    <row r="473" spans="2:26" s="50" customFormat="1" x14ac:dyDescent="0.25">
      <c r="B473" s="60" t="str">
        <f>("Cambio porcentual con relación al "&amp;$D$117&amp;".")</f>
        <v>Cambio porcentual con relación al 2023.</v>
      </c>
      <c r="C473" s="61"/>
      <c r="D473" s="62" t="str">
        <f>IF(E473&gt;=0,"Aumento","Disminución")</f>
        <v>Disminución</v>
      </c>
      <c r="E473" s="94">
        <f>+E471/D471</f>
        <v>-0.26096350640016575</v>
      </c>
      <c r="J473" s="54"/>
      <c r="N473" s="54"/>
      <c r="R473" s="55"/>
      <c r="S473" s="55"/>
      <c r="T473" s="55"/>
      <c r="U473" s="55"/>
      <c r="V473" s="55"/>
      <c r="W473" s="55"/>
      <c r="X473" s="55"/>
      <c r="Y473" s="55"/>
      <c r="Z473" s="54"/>
    </row>
    <row r="474" spans="2:26" x14ac:dyDescent="0.25">
      <c r="B474" s="84"/>
    </row>
    <row r="476" spans="2:26" x14ac:dyDescent="0.25">
      <c r="B476" s="68" t="s">
        <v>258</v>
      </c>
    </row>
    <row r="477" spans="2:26" x14ac:dyDescent="0.25">
      <c r="B477" s="68" t="s">
        <v>259</v>
      </c>
    </row>
    <row r="478" spans="2:26" ht="32.25" customHeight="1" x14ac:dyDescent="0.25">
      <c r="B478" s="14" t="str">
        <f>("Un detalle de las "&amp;B477&amp;" al "&amp;[1]BALANZA!$B$3&amp;" "&amp;[1]BALANZA!$C$3&amp;" es como se detalla a continuación:")</f>
        <v>Un detalle de las Transferencias y donaciones  al 30 de Septiembre del 2024 - 2023 es como se detalla a continuación:</v>
      </c>
      <c r="C478" s="37"/>
      <c r="D478" s="37"/>
      <c r="E478" s="37"/>
    </row>
    <row r="479" spans="2:26" ht="61.5" customHeight="1" x14ac:dyDescent="0.25">
      <c r="B479" s="210" t="str">
        <f>("Los recursos recibidos por transferencias fueron por los montos según el siguiente detalle:  para el "&amp;C482&amp;" transferencia de para Gasto  Corrientes RD$ "&amp;R483&amp;", para Gasto de  Capital RD$ "&amp;R484&amp;" y para Energia no cortable RD$ "&amp;R485&amp;" y para el "&amp;D482&amp;" Transferencia para Gasto  Corrientes RD$ "&amp;R488&amp;", para Gasto  de Capital RD$ "&amp;R489&amp;" y para Energia no cortable RD$ "&amp;R490&amp;" ")</f>
        <v xml:space="preserve">Los recursos recibidos por transferencias fueron por los montos según el siguiente detalle:  para el 2024 transferencia de para Gasto  Corrientes RD$ 38,086,184.00, para Gasto de  Capital RD$ 100,470,000.00 y para Energia no cortable RD$ 41,657,874.03 y para el 2023 Transferencia para Gasto  Corrientes RD$ 25,240,027.45, para Gasto  de Capital RD$ 12,714,356.04 y para Energia no cortable RD$ 51,161,468.00 </v>
      </c>
      <c r="C479" s="210"/>
      <c r="D479" s="210"/>
      <c r="E479" s="210"/>
    </row>
    <row r="480" spans="2:26" x14ac:dyDescent="0.25">
      <c r="B480" s="13"/>
    </row>
    <row r="481" spans="2:26" x14ac:dyDescent="0.25">
      <c r="B481" s="180" t="str">
        <f>+B468</f>
        <v>Cuenta</v>
      </c>
      <c r="C481" s="222" t="s">
        <v>254</v>
      </c>
      <c r="D481" s="222"/>
      <c r="E481" s="223"/>
    </row>
    <row r="482" spans="2:26" x14ac:dyDescent="0.25">
      <c r="B482" s="180" t="s">
        <v>260</v>
      </c>
      <c r="C482" s="224">
        <f>+[1]BALANZA!B4</f>
        <v>2024</v>
      </c>
      <c r="D482" s="224">
        <f>+[1]BALANZA!C4</f>
        <v>2023</v>
      </c>
      <c r="E482" s="195" t="s">
        <v>218</v>
      </c>
    </row>
    <row r="483" spans="2:26" ht="15.75" customHeight="1" x14ac:dyDescent="0.25">
      <c r="B483" s="162" t="s">
        <v>261</v>
      </c>
      <c r="C483" s="148">
        <f>+'[1]BALANZA G'!C139+'[1]BALANZA G'!C143</f>
        <v>38086184</v>
      </c>
      <c r="D483" s="148">
        <f>+[1]RESULTADO!E10-D484-D485</f>
        <v>25240027.450000018</v>
      </c>
      <c r="E483" s="87">
        <f>+C483-D483</f>
        <v>12846156.549999982</v>
      </c>
      <c r="R483" s="4" t="str">
        <f>+CONCATENATE(S483,",",T483,",",U483,V483,".00")</f>
        <v>38,086,184.00</v>
      </c>
      <c r="S483" s="4" t="str">
        <f>MID(C483,1,2)</f>
        <v>38</v>
      </c>
      <c r="T483" s="4" t="str">
        <f>MID(C483,3,3)</f>
        <v>086</v>
      </c>
      <c r="U483" s="4" t="str">
        <f>MID(C483,6,3)</f>
        <v>184</v>
      </c>
      <c r="V483" s="4" t="str">
        <f>MID(C483,9,3)</f>
        <v/>
      </c>
    </row>
    <row r="484" spans="2:26" ht="15.75" customHeight="1" x14ac:dyDescent="0.25">
      <c r="B484" s="162" t="s">
        <v>262</v>
      </c>
      <c r="C484" s="233">
        <f>+'[1]BALANZA G'!C144</f>
        <v>100470000</v>
      </c>
      <c r="D484" s="233">
        <v>12714356.039999999</v>
      </c>
      <c r="E484" s="87">
        <f>+C484-D484</f>
        <v>87755643.960000008</v>
      </c>
      <c r="R484" s="4" t="str">
        <f>+CONCATENATE(S484,",",T484,",",U484,V484,".00")</f>
        <v>100,470,000.00</v>
      </c>
      <c r="S484" s="4" t="str">
        <f>MID(C484,1,3)</f>
        <v>100</v>
      </c>
      <c r="T484" s="4" t="str">
        <f>MID(C484,4,3)</f>
        <v>470</v>
      </c>
      <c r="U484" s="4" t="str">
        <f>MID(C484,7,3)</f>
        <v>000</v>
      </c>
      <c r="V484" s="4" t="str">
        <f>MID(C484,10,3)</f>
        <v/>
      </c>
    </row>
    <row r="485" spans="2:26" ht="28.5" customHeight="1" x14ac:dyDescent="0.25">
      <c r="B485" s="234" t="s">
        <v>263</v>
      </c>
      <c r="C485" s="233">
        <f>+'[1]BALANZA G'!C145</f>
        <v>41657874.030000001</v>
      </c>
      <c r="D485" s="233">
        <v>51161468</v>
      </c>
      <c r="E485" s="235">
        <f>+C485-D485</f>
        <v>-9503593.9699999988</v>
      </c>
      <c r="N485" s="3">
        <f>3106590.67*5</f>
        <v>15532953.35</v>
      </c>
      <c r="R485" s="4" t="str">
        <f>+CONCATENATE(S485,",",T485,",",U485,V485,"")</f>
        <v>41,657,874.03</v>
      </c>
      <c r="S485" s="4" t="str">
        <f>MID(C485,1,2)</f>
        <v>41</v>
      </c>
      <c r="T485" s="4" t="str">
        <f>MID(C485,3,3)</f>
        <v>657</v>
      </c>
      <c r="U485" s="4" t="str">
        <f>MID(C485,6,3)</f>
        <v>874</v>
      </c>
      <c r="V485" s="4" t="str">
        <f>MID(C485,9,3)</f>
        <v>.03</v>
      </c>
    </row>
    <row r="486" spans="2:26" x14ac:dyDescent="0.25">
      <c r="B486" s="180" t="s">
        <v>264</v>
      </c>
      <c r="C486" s="227">
        <f>SUM(C483:C485)</f>
        <v>180214058.03</v>
      </c>
      <c r="D486" s="228">
        <f>SUM(D483:D485)</f>
        <v>89115851.49000001</v>
      </c>
      <c r="E486" s="227">
        <f>SUM(E483:E485)</f>
        <v>91098206.539999992</v>
      </c>
      <c r="H486" s="96"/>
      <c r="N486" s="3">
        <v>2556519</v>
      </c>
      <c r="R486" s="4" t="str">
        <f>+CONCATENATE(S486,",",T486,",",U486,V486,AB486)</f>
        <v>18,021,4058.0</v>
      </c>
      <c r="S486" s="4" t="str">
        <f>MID(C486,1,2)</f>
        <v>18</v>
      </c>
      <c r="T486" s="4" t="str">
        <f>MID(C486,3,3)</f>
        <v>021</v>
      </c>
      <c r="U486" s="4" t="str">
        <f>MID(C486,6,3)</f>
        <v>405</v>
      </c>
      <c r="V486" s="4" t="str">
        <f>MID(C486,9,3)</f>
        <v>8.0</v>
      </c>
    </row>
    <row r="487" spans="2:26" x14ac:dyDescent="0.25">
      <c r="B487" s="229"/>
      <c r="C487" s="230">
        <f>+C486-[1]ERF!B12</f>
        <v>0</v>
      </c>
      <c r="D487" s="231"/>
      <c r="E487" s="232"/>
      <c r="H487" s="96"/>
      <c r="N487" s="3">
        <f>+N485+N486</f>
        <v>18089472.350000001</v>
      </c>
      <c r="R487" s="4" t="str">
        <f>+CONCATENATE(S487,",",T487,",",U487,V487,AB487)</f>
        <v>891,158,51.49</v>
      </c>
      <c r="S487" s="4" t="str">
        <f>MID(D486,1,3)</f>
        <v>891</v>
      </c>
      <c r="T487" s="4" t="str">
        <f>MID(D486,4,3)</f>
        <v>158</v>
      </c>
      <c r="U487" s="4" t="str">
        <f>MID(D486,7,3)</f>
        <v>51.</v>
      </c>
      <c r="V487" s="4" t="str">
        <f>MID(D486,10,3)</f>
        <v>49</v>
      </c>
    </row>
    <row r="488" spans="2:26" s="50" customFormat="1" x14ac:dyDescent="0.25">
      <c r="B488" s="60" t="str">
        <f>("Cambio porcentual con relación al "&amp;$D$117&amp;".")</f>
        <v>Cambio porcentual con relación al 2023.</v>
      </c>
      <c r="C488" s="61"/>
      <c r="D488" s="62" t="str">
        <f>IF(E488&gt;=0,"Aumento","Disminución")</f>
        <v>Aumento</v>
      </c>
      <c r="E488" s="94">
        <f>+E486/D486</f>
        <v>1.0222446962785563</v>
      </c>
      <c r="J488" s="54"/>
      <c r="N488" s="54"/>
      <c r="R488" s="4" t="str">
        <f>+CONCATENATE(S488,",",T488,",",U488,V488,AB488)</f>
        <v>25,240,027.45</v>
      </c>
      <c r="S488" s="4" t="str">
        <f>MID(D483,1,2)</f>
        <v>25</v>
      </c>
      <c r="T488" s="4" t="str">
        <f>MID(D483,3,3)</f>
        <v>240</v>
      </c>
      <c r="U488" s="4" t="str">
        <f>MID(D483,6,3)</f>
        <v>027</v>
      </c>
      <c r="V488" s="4" t="str">
        <f>MID(D483,9,3)</f>
        <v>.45</v>
      </c>
      <c r="W488" s="55"/>
      <c r="X488" s="55"/>
      <c r="Y488" s="55"/>
      <c r="Z488" s="54"/>
    </row>
    <row r="489" spans="2:26" x14ac:dyDescent="0.25">
      <c r="B489" s="13"/>
      <c r="H489" s="96"/>
      <c r="R489" s="4" t="str">
        <f>+CONCATENATE(S489,",",T489,",",U489,V489,AB489)</f>
        <v>12,714,356.04</v>
      </c>
      <c r="S489" s="4" t="str">
        <f>MID(D484,1,2)</f>
        <v>12</v>
      </c>
      <c r="T489" s="4" t="str">
        <f>MID(D484,3,3)</f>
        <v>714</v>
      </c>
      <c r="U489" s="4" t="str">
        <f>MID(D484,6,3)</f>
        <v>356</v>
      </c>
      <c r="V489" s="4" t="str">
        <f>MID(D484,9,3)</f>
        <v>.04</v>
      </c>
    </row>
    <row r="490" spans="2:26" ht="28.5" customHeight="1" x14ac:dyDescent="0.25">
      <c r="B490" s="14" t="str">
        <f>("Nota: CORAAMOCA tiene un presupuesto aprobado para el "&amp;C482&amp;" por un valor de RD$ "&amp;R495&amp;" ")</f>
        <v xml:space="preserve">Nota: CORAAMOCA tiene un presupuesto aprobado para el 2024 por un valor de RD$ 428,213,181.00 </v>
      </c>
      <c r="C490" s="14"/>
      <c r="D490" s="14"/>
      <c r="E490" s="14"/>
      <c r="R490" s="4" t="str">
        <f>+CONCATENATE(S490,",",T490,",",U490,V490,AB490,".00")</f>
        <v>51,161,468.00</v>
      </c>
      <c r="S490" s="4" t="str">
        <f>MID(D485,1,2)</f>
        <v>51</v>
      </c>
      <c r="T490" s="4" t="str">
        <f>MID(D485,3,3)</f>
        <v>161</v>
      </c>
      <c r="U490" s="4" t="str">
        <f>MID(D485,6,3)</f>
        <v>468</v>
      </c>
      <c r="V490" s="4" t="str">
        <f>MID(D485,9,3)</f>
        <v/>
      </c>
    </row>
    <row r="491" spans="2:26" ht="53.25" customHeight="1" x14ac:dyDescent="0.25">
      <c r="B491" s="14" t="str">
        <f>("El cual  recibirá mediante asignación de fondos del Gobierno Central,  para gastos corriente RD$ "&amp;R491&amp;" , para Gasto de capital RD$ "&amp;R493&amp;" y para  Energia Electrica de  RD$ "&amp;R492&amp;" y la Institución ingresará por ventas de servicios agua y saneamiento  un monto de RD$ "&amp;R494&amp;".")</f>
        <v>El cual  recibirá mediante asignación de fondos del Gobierno Central,  para gastos corriente RD$ 21,195,285.00 , para Gasto de capital RD$ 118,200,000.00 y para  Energia Electrica de  RD$ 55,543,832.00 y la Institución ingresará por ventas de servicios agua y saneamiento  un monto de RD$ 233,274,064.00.</v>
      </c>
      <c r="C491" s="14"/>
      <c r="D491" s="14"/>
      <c r="E491" s="14"/>
      <c r="R491" s="4" t="str">
        <f>+CONCATENATE(T491,",",U491,",",V491,W491,".00")</f>
        <v>21,195,285.00</v>
      </c>
      <c r="S491" s="236">
        <f>+'[1]Pres A'!E289</f>
        <v>21195285</v>
      </c>
      <c r="T491" s="4" t="str">
        <f>MID(S491,1,2)</f>
        <v>21</v>
      </c>
      <c r="U491" s="4" t="str">
        <f>MID(S491,3,3)</f>
        <v>195</v>
      </c>
      <c r="V491" s="4" t="str">
        <f>MID(S491,6,3)</f>
        <v>285</v>
      </c>
    </row>
    <row r="492" spans="2:26" ht="15.75" customHeight="1" x14ac:dyDescent="0.25">
      <c r="B492" s="21"/>
      <c r="C492" s="21"/>
      <c r="D492" s="21"/>
      <c r="E492" s="21"/>
      <c r="R492" s="4" t="str">
        <f>+CONCATENATE(T492,",",U492,",",V492,W492,".00")</f>
        <v>55,543,832.00</v>
      </c>
      <c r="S492" s="236">
        <f>+'[1]Pres A'!E290</f>
        <v>55543832</v>
      </c>
      <c r="T492" s="4" t="str">
        <f>MID(S492,1,2)</f>
        <v>55</v>
      </c>
      <c r="U492" s="4" t="str">
        <f>MID(S492,3,3)</f>
        <v>543</v>
      </c>
      <c r="V492" s="4" t="str">
        <f>MID(S492,6,3)</f>
        <v>832</v>
      </c>
      <c r="W492" s="4" t="str">
        <f>MID(S492,9,3)</f>
        <v/>
      </c>
    </row>
    <row r="493" spans="2:26" ht="15.75" customHeight="1" x14ac:dyDescent="0.25">
      <c r="B493" s="21"/>
      <c r="C493" s="21"/>
      <c r="D493" s="21"/>
      <c r="E493" s="21"/>
      <c r="R493" s="4" t="str">
        <f>+CONCATENATE(T493,",",U493,",",V493,W493,".00")</f>
        <v>118,200,000.00</v>
      </c>
      <c r="S493" s="236">
        <f>+'[1]Pres A'!E291</f>
        <v>118200000</v>
      </c>
      <c r="T493" s="4" t="str">
        <f>MID(S493,1,3)</f>
        <v>118</v>
      </c>
      <c r="U493" s="4" t="str">
        <f>MID(S493,4,3)</f>
        <v>200</v>
      </c>
      <c r="V493" s="4" t="str">
        <f>MID(S493,7,3)</f>
        <v>000</v>
      </c>
      <c r="W493" s="4" t="str">
        <f>MID(S493,10,3)</f>
        <v/>
      </c>
    </row>
    <row r="494" spans="2:26" ht="15.75" customHeight="1" x14ac:dyDescent="0.25">
      <c r="B494" s="21"/>
      <c r="C494" s="21"/>
      <c r="D494" s="21"/>
      <c r="E494" s="21"/>
      <c r="R494" s="4" t="str">
        <f>+CONCATENATE(T494,",",U494,",",V494,W494,".00")</f>
        <v>233,274,064.00</v>
      </c>
      <c r="S494" s="236">
        <f>+'[1]Pres A'!E295</f>
        <v>233274064.41999999</v>
      </c>
      <c r="T494" s="4" t="str">
        <f>MID(S494,1,3)</f>
        <v>233</v>
      </c>
      <c r="U494" s="4" t="str">
        <f>MID(S494,4,3)</f>
        <v>274</v>
      </c>
      <c r="V494" s="4" t="str">
        <f>MID(S494,7,3)</f>
        <v>064</v>
      </c>
    </row>
    <row r="495" spans="2:26" ht="15.75" customHeight="1" x14ac:dyDescent="0.25">
      <c r="B495" s="21"/>
      <c r="C495" s="21"/>
      <c r="D495" s="21"/>
      <c r="E495" s="21"/>
      <c r="R495" s="4" t="str">
        <f>+CONCATENATE(T495,",",U495,",",V495,W495,".00")</f>
        <v>428,213,181.00</v>
      </c>
      <c r="S495" s="237">
        <f>SUM(S491:S494)</f>
        <v>428213181.41999996</v>
      </c>
      <c r="T495" s="4" t="str">
        <f>MID(S495,1,3)</f>
        <v>428</v>
      </c>
      <c r="U495" s="4" t="str">
        <f>MID(S495,4,3)</f>
        <v>213</v>
      </c>
      <c r="V495" s="4" t="str">
        <f>MID(S495,7,3)</f>
        <v>181</v>
      </c>
    </row>
    <row r="496" spans="2:26" ht="15.75" customHeight="1" x14ac:dyDescent="0.25">
      <c r="B496" s="21"/>
      <c r="C496" s="21"/>
      <c r="D496" s="21"/>
      <c r="E496" s="21"/>
    </row>
    <row r="497" spans="2:5" ht="15.75" customHeight="1" x14ac:dyDescent="0.25">
      <c r="B497" s="21"/>
      <c r="C497" s="21"/>
      <c r="D497" s="21"/>
      <c r="E497" s="21"/>
    </row>
    <row r="498" spans="2:5" ht="15.75" customHeight="1" x14ac:dyDescent="0.25">
      <c r="B498" s="21"/>
      <c r="C498" s="21"/>
      <c r="D498" s="21"/>
      <c r="E498" s="21"/>
    </row>
    <row r="499" spans="2:5" ht="15.75" customHeight="1" x14ac:dyDescent="0.25">
      <c r="B499" s="21"/>
      <c r="C499" s="21"/>
      <c r="D499" s="21"/>
      <c r="E499" s="21"/>
    </row>
    <row r="500" spans="2:5" ht="32.25" customHeight="1" x14ac:dyDescent="0.25">
      <c r="B500" s="180" t="s">
        <v>260</v>
      </c>
      <c r="C500" s="238" t="s">
        <v>265</v>
      </c>
      <c r="D500" s="238" t="s">
        <v>246</v>
      </c>
      <c r="E500" s="238" t="s">
        <v>266</v>
      </c>
    </row>
    <row r="501" spans="2:5" ht="15.75" customHeight="1" x14ac:dyDescent="0.25">
      <c r="B501" s="69" t="s">
        <v>267</v>
      </c>
      <c r="C501" s="239">
        <f>+'[1]19'!$D$25</f>
        <v>1598764</v>
      </c>
      <c r="D501" s="239">
        <f>+'[1]19'!$D$26</f>
        <v>0</v>
      </c>
      <c r="E501" s="239">
        <f>+'[1]19'!$D$27</f>
        <v>4628652.67</v>
      </c>
    </row>
    <row r="502" spans="2:5" ht="15.75" customHeight="1" x14ac:dyDescent="0.25">
      <c r="B502" s="69" t="s">
        <v>268</v>
      </c>
      <c r="C502" s="239">
        <f>+'[1]19'!$E$25</f>
        <v>1598764</v>
      </c>
      <c r="D502" s="239">
        <f>+'[1]19'!$E$26</f>
        <v>41370000</v>
      </c>
      <c r="E502" s="239">
        <f>+'[1]19'!$E$27</f>
        <v>4628652.67</v>
      </c>
    </row>
    <row r="503" spans="2:5" ht="15.75" customHeight="1" x14ac:dyDescent="0.25">
      <c r="B503" s="69" t="s">
        <v>269</v>
      </c>
      <c r="C503" s="239">
        <f>+'[1]19'!$F$25</f>
        <v>15225006</v>
      </c>
      <c r="D503" s="239">
        <f>+'[1]19'!$F$26</f>
        <v>0</v>
      </c>
      <c r="E503" s="239">
        <f>+'[1]19'!$F$27</f>
        <v>4628652.67</v>
      </c>
    </row>
    <row r="504" spans="2:5" ht="15.75" customHeight="1" x14ac:dyDescent="0.25">
      <c r="B504" s="69" t="s">
        <v>270</v>
      </c>
      <c r="C504" s="239">
        <f>+'[1]19'!$G$25</f>
        <v>3277275</v>
      </c>
      <c r="D504" s="239">
        <f>+'[1]19'!$G$26</f>
        <v>0</v>
      </c>
      <c r="E504" s="239">
        <f>+'[1]19'!$G$27</f>
        <v>4628652.67</v>
      </c>
    </row>
    <row r="505" spans="2:5" ht="15.75" customHeight="1" x14ac:dyDescent="0.25">
      <c r="B505" s="69" t="s">
        <v>271</v>
      </c>
      <c r="C505" s="239">
        <f>+'[1]19'!$H$25</f>
        <v>3277275</v>
      </c>
      <c r="D505" s="239">
        <f>+'[1]19'!$H$26</f>
        <v>0</v>
      </c>
      <c r="E505" s="239">
        <f>+'[1]19'!$H$27</f>
        <v>4628652.67</v>
      </c>
    </row>
    <row r="506" spans="2:5" ht="15.75" customHeight="1" x14ac:dyDescent="0.25">
      <c r="B506" s="69" t="s">
        <v>272</v>
      </c>
      <c r="C506" s="239">
        <f>+'[1]19'!$I$25</f>
        <v>3277275</v>
      </c>
      <c r="D506" s="239">
        <f>+'[1]19'!$I$26</f>
        <v>0</v>
      </c>
      <c r="E506" s="239">
        <f>+'[1]19'!$I$27</f>
        <v>4628652.67</v>
      </c>
    </row>
    <row r="507" spans="2:5" ht="15.75" customHeight="1" x14ac:dyDescent="0.25">
      <c r="B507" s="69" t="s">
        <v>273</v>
      </c>
      <c r="C507" s="239">
        <f>+'[1]19'!$J$25</f>
        <v>3277275</v>
      </c>
      <c r="D507" s="239">
        <f>+'[1]19'!$J$26</f>
        <v>0</v>
      </c>
      <c r="E507" s="239">
        <f>+'[1]19'!$J$27</f>
        <v>4628652.67</v>
      </c>
    </row>
    <row r="508" spans="2:5" ht="15.75" customHeight="1" x14ac:dyDescent="0.25">
      <c r="B508" s="69" t="s">
        <v>274</v>
      </c>
      <c r="C508" s="239">
        <f>+'[1]19'!$K$25</f>
        <v>3277275</v>
      </c>
      <c r="D508" s="239">
        <f>+'[1]19'!$K$26</f>
        <v>0</v>
      </c>
      <c r="E508" s="239">
        <f>+'[1]19'!$K$27</f>
        <v>4628652.67</v>
      </c>
    </row>
    <row r="509" spans="2:5" ht="15.75" customHeight="1" x14ac:dyDescent="0.25">
      <c r="B509" s="69" t="s">
        <v>275</v>
      </c>
      <c r="C509" s="239">
        <f>+'[1]19'!$L$25</f>
        <v>3277275</v>
      </c>
      <c r="D509" s="239">
        <f>+'[1]19'!$L$26</f>
        <v>59100000</v>
      </c>
      <c r="E509" s="239">
        <f>+'[1]19'!$L$27</f>
        <v>4628652.67</v>
      </c>
    </row>
    <row r="510" spans="2:5" ht="15.75" customHeight="1" x14ac:dyDescent="0.25">
      <c r="B510" s="69" t="s">
        <v>276</v>
      </c>
      <c r="C510" s="239">
        <f>+'[1]19'!$M$25</f>
        <v>0</v>
      </c>
      <c r="D510" s="239">
        <f>+'[1]19'!$M$26</f>
        <v>0</v>
      </c>
      <c r="E510" s="239">
        <f>+'[1]19'!$M$27</f>
        <v>0</v>
      </c>
    </row>
    <row r="511" spans="2:5" ht="15.75" customHeight="1" x14ac:dyDescent="0.25">
      <c r="B511" s="69" t="s">
        <v>277</v>
      </c>
      <c r="C511" s="239">
        <f>+'[1]19'!$N$25</f>
        <v>0</v>
      </c>
      <c r="D511" s="239">
        <f>+'[1]19'!$N$26</f>
        <v>0</v>
      </c>
      <c r="E511" s="239">
        <f>+'[1]19'!$N$27</f>
        <v>0</v>
      </c>
    </row>
    <row r="512" spans="2:5" ht="15.75" customHeight="1" x14ac:dyDescent="0.25">
      <c r="B512" s="69" t="s">
        <v>278</v>
      </c>
      <c r="C512" s="239">
        <f>+'[1]19'!$O$25</f>
        <v>0</v>
      </c>
      <c r="D512" s="239">
        <f>+'[1]19'!$O$26</f>
        <v>0</v>
      </c>
      <c r="E512" s="239">
        <f>+'[1]19'!$O$27</f>
        <v>0</v>
      </c>
    </row>
    <row r="513" spans="2:21" ht="15.75" customHeight="1" x14ac:dyDescent="0.25">
      <c r="B513" s="240" t="s">
        <v>212</v>
      </c>
      <c r="C513" s="241">
        <f>SUM(C501:C512)</f>
        <v>38086184</v>
      </c>
      <c r="D513" s="241">
        <f>SUM(D501:D512)</f>
        <v>100470000</v>
      </c>
      <c r="E513" s="241">
        <f>SUM(E501:E512)</f>
        <v>41657874.030000009</v>
      </c>
    </row>
    <row r="514" spans="2:21" ht="15.75" customHeight="1" x14ac:dyDescent="0.25">
      <c r="B514" s="21"/>
      <c r="C514" s="21"/>
      <c r="D514" s="21"/>
      <c r="E514" s="21"/>
    </row>
    <row r="515" spans="2:21" ht="23.25" customHeight="1" x14ac:dyDescent="0.25">
      <c r="B515" s="68" t="s">
        <v>279</v>
      </c>
      <c r="C515" s="242"/>
      <c r="J515" s="3">
        <v>192000000</v>
      </c>
      <c r="K515" s="242">
        <f>J515/12</f>
        <v>16000000</v>
      </c>
    </row>
    <row r="516" spans="2:21" x14ac:dyDescent="0.25">
      <c r="B516" s="68" t="s">
        <v>280</v>
      </c>
      <c r="J516" s="3">
        <v>21106726</v>
      </c>
      <c r="K516" s="242">
        <f>J516/12</f>
        <v>1758893.8333333333</v>
      </c>
    </row>
    <row r="517" spans="2:21" ht="36.75" customHeight="1" x14ac:dyDescent="0.25">
      <c r="B517" s="14" t="str">
        <f>("Un detalle de los "&amp;B516&amp;" al "&amp;[1]BALANZA!$B$3&amp;" "&amp;[1]BALANZA!$C$3&amp;" es como se detalla a continuación:")</f>
        <v>Un detalle de los Sueldos, Salarios y beneficios a empleados al 30 de Septiembre del 2024 - 2023 es como se detalla a continuación:</v>
      </c>
      <c r="C517" s="37"/>
      <c r="D517" s="37"/>
      <c r="E517" s="37"/>
      <c r="J517" s="3">
        <v>70000000</v>
      </c>
      <c r="K517" s="242">
        <f>J517/12</f>
        <v>5833333.333333333</v>
      </c>
      <c r="L517" s="3">
        <f>4666666*3</f>
        <v>13999998</v>
      </c>
    </row>
    <row r="518" spans="2:21" ht="16.5" customHeight="1" x14ac:dyDescent="0.25">
      <c r="B518" s="210"/>
      <c r="C518" s="20"/>
      <c r="D518" s="20"/>
      <c r="E518" s="20"/>
      <c r="J518" s="3">
        <v>37279088</v>
      </c>
      <c r="K518" s="242"/>
      <c r="L518" s="3">
        <f>1598764*5</f>
        <v>7993820</v>
      </c>
    </row>
    <row r="519" spans="2:21" x14ac:dyDescent="0.25">
      <c r="B519" s="180" t="str">
        <f>+B468</f>
        <v>Cuenta</v>
      </c>
      <c r="C519" s="181">
        <f>+[1]BALANZA!B4</f>
        <v>2024</v>
      </c>
      <c r="D519" s="181">
        <f>+[1]BALANZA!C4</f>
        <v>2023</v>
      </c>
      <c r="E519" s="195" t="s">
        <v>218</v>
      </c>
      <c r="K519" s="242">
        <f>J516+J517+J518</f>
        <v>128385814</v>
      </c>
      <c r="L519" s="3">
        <f>10296372.36+13618335.6</f>
        <v>23914707.960000001</v>
      </c>
    </row>
    <row r="520" spans="2:21" x14ac:dyDescent="0.25">
      <c r="B520" s="243" t="s">
        <v>281</v>
      </c>
      <c r="C520" s="244">
        <f>+'[1]BALANZA G'!C152</f>
        <v>110611646</v>
      </c>
      <c r="D520" s="244">
        <f>+'[1]BALANZA G'!D152</f>
        <v>149428043</v>
      </c>
      <c r="E520" s="49">
        <f t="shared" ref="E520:E525" si="3">+C520-D520</f>
        <v>-38816397</v>
      </c>
      <c r="J520" s="3">
        <f>+J518+J515+J517+J516</f>
        <v>320385814</v>
      </c>
      <c r="U520" s="213"/>
    </row>
    <row r="521" spans="2:21" x14ac:dyDescent="0.25">
      <c r="B521" s="243" t="s">
        <v>282</v>
      </c>
      <c r="C521" s="244">
        <f>+'[1]BALANZA G'!C154+'[1]BALANZA G'!C155+'[1]BALANZA G'!C156+'[1]BALANZA G'!C157+'[1]BALANZA G'!C153</f>
        <v>0</v>
      </c>
      <c r="D521" s="244">
        <f>+'[1]BALANZA G'!D154+'[1]BALANZA G'!D155+'[1]BALANZA G'!D156+'[1]BALANZA G'!D157+'[1]BALANZA G'!D153</f>
        <v>0</v>
      </c>
      <c r="E521" s="49">
        <f t="shared" si="3"/>
        <v>0</v>
      </c>
      <c r="L521" s="242">
        <f>L519+L518+L517</f>
        <v>45908525.960000001</v>
      </c>
      <c r="U521" s="213"/>
    </row>
    <row r="522" spans="2:21" ht="44.25" customHeight="1" x14ac:dyDescent="0.25">
      <c r="B522" s="243" t="s">
        <v>283</v>
      </c>
      <c r="C522" s="244">
        <f>+'[1]BALANZA G'!C160+'[1]BALANZA G'!C161+'[1]BALANZA G'!C158+'[1]BALANZA G'!C162+'[1]BALANZA G'!C164+'[1]BALANZA G'!C159</f>
        <v>6141773</v>
      </c>
      <c r="D522" s="244">
        <f>+'[1]BALANZA G'!D158+'[1]BALANZA G'!D160+'[1]BALANZA G'!D161+'[1]BALANZA G'!D162+'[1]BALANZA G'!D164+'[1]BALANZA G'!D159</f>
        <v>8031951.580000001</v>
      </c>
      <c r="E522" s="49">
        <f t="shared" si="3"/>
        <v>-1890178.580000001</v>
      </c>
      <c r="U522" s="213"/>
    </row>
    <row r="523" spans="2:21" hidden="1" x14ac:dyDescent="0.25">
      <c r="B523" s="243" t="s">
        <v>284</v>
      </c>
      <c r="C523" s="244">
        <f>+'[1]BALANZA G'!C166</f>
        <v>0</v>
      </c>
      <c r="D523" s="244">
        <f>+'[1]BALANZA G'!D166</f>
        <v>0</v>
      </c>
      <c r="E523" s="49">
        <f t="shared" si="3"/>
        <v>0</v>
      </c>
      <c r="U523" s="213"/>
    </row>
    <row r="524" spans="2:21" x14ac:dyDescent="0.25">
      <c r="B524" s="243" t="s">
        <v>285</v>
      </c>
      <c r="C524" s="244">
        <f>+'[1]BALANZA G'!C167+'[1]BALANZA G'!C168+'[1]BALANZA G'!C169+'[1]BALANZA G'!C171</f>
        <v>2110000</v>
      </c>
      <c r="D524" s="244">
        <f>+'[1]BALANZA G'!D167+'[1]BALANZA G'!D168+'[1]BALANZA G'!D169+'[1]BALANZA G'!D171</f>
        <v>2580000</v>
      </c>
      <c r="E524" s="49">
        <f t="shared" si="3"/>
        <v>-470000</v>
      </c>
      <c r="U524" s="213"/>
    </row>
    <row r="525" spans="2:21" x14ac:dyDescent="0.25">
      <c r="B525" s="243" t="s">
        <v>286</v>
      </c>
      <c r="C525" s="244">
        <f>+'[1]BALANZA G'!C172+'[1]BALANZA G'!C174+'[1]BALANZA G'!C171+'[1]BALANZA G'!C173+'[1]BALANZA G'!C170+'[1]BALANZA G'!C163</f>
        <v>0</v>
      </c>
      <c r="D525" s="244">
        <f>+'[1]BALANZA G'!D171+'[1]BALANZA G'!D172+'[1]BALANZA G'!D173+'[1]BALANZA G'!D174+'[1]BALANZA G'!D170+'[1]BALANZA G'!D163</f>
        <v>12374295.220000001</v>
      </c>
      <c r="E525" s="49">
        <f t="shared" si="3"/>
        <v>-12374295.220000001</v>
      </c>
      <c r="U525" s="213"/>
    </row>
    <row r="526" spans="2:21" x14ac:dyDescent="0.25">
      <c r="B526" s="243" t="s">
        <v>287</v>
      </c>
      <c r="C526" s="244">
        <f>+'[1]BALANZA G'!C290</f>
        <v>771784.7</v>
      </c>
      <c r="D526" s="244">
        <f>+'[1]BALANZA G'!D290</f>
        <v>3816377.92</v>
      </c>
      <c r="E526" s="49">
        <f>+C526-D526</f>
        <v>-3044593.2199999997</v>
      </c>
      <c r="U526" s="213"/>
    </row>
    <row r="527" spans="2:21" x14ac:dyDescent="0.25">
      <c r="B527" s="243" t="s">
        <v>288</v>
      </c>
      <c r="C527" s="244">
        <f>+'[1]BALANZA G'!C177</f>
        <v>7875421.7599999998</v>
      </c>
      <c r="D527" s="244">
        <f>+'[1]BALANZA G'!D177</f>
        <v>10582363.359999999</v>
      </c>
      <c r="E527" s="49">
        <f>+C527-D527</f>
        <v>-2706941.5999999996</v>
      </c>
      <c r="U527" s="213"/>
    </row>
    <row r="528" spans="2:21" x14ac:dyDescent="0.25">
      <c r="B528" s="243" t="s">
        <v>289</v>
      </c>
      <c r="C528" s="244">
        <f>+'[1]BALANZA G'!C178</f>
        <v>6507842.0499999998</v>
      </c>
      <c r="D528" s="244">
        <f>+'[1]BALANZA G'!D178</f>
        <v>10614032.710000001</v>
      </c>
      <c r="E528" s="49">
        <f>+C528-D528</f>
        <v>-4106190.6600000011</v>
      </c>
      <c r="U528" s="213"/>
    </row>
    <row r="529" spans="2:26" x14ac:dyDescent="0.25">
      <c r="B529" s="243" t="s">
        <v>290</v>
      </c>
      <c r="C529" s="244">
        <f>+'[1]BALANZA G'!C179</f>
        <v>2697889.09</v>
      </c>
      <c r="D529" s="244">
        <f>+'[1]BALANZA G'!D179</f>
        <v>1774503.18</v>
      </c>
      <c r="E529" s="49">
        <f>+C529-D529</f>
        <v>923385.90999999992</v>
      </c>
      <c r="U529" s="213"/>
    </row>
    <row r="530" spans="2:26" ht="28.5" x14ac:dyDescent="0.25">
      <c r="B530" s="245" t="s">
        <v>291</v>
      </c>
      <c r="C530" s="124">
        <f>SUM(C520:C529)</f>
        <v>136716356.59999999</v>
      </c>
      <c r="D530" s="197">
        <f>SUM(D520:D529)</f>
        <v>199201566.97</v>
      </c>
      <c r="E530" s="246">
        <f>SUM(E520:E529)</f>
        <v>-62485210.370000005</v>
      </c>
    </row>
    <row r="531" spans="2:26" x14ac:dyDescent="0.25">
      <c r="B531" s="11"/>
      <c r="C531" s="247">
        <f>+C530-[1]ERF!B17</f>
        <v>0</v>
      </c>
      <c r="J531" s="54"/>
    </row>
    <row r="532" spans="2:26" s="50" customFormat="1" x14ac:dyDescent="0.25">
      <c r="B532" s="60" t="str">
        <f>("Cambio porcentual con relación al "&amp;$D$117&amp;".")</f>
        <v>Cambio porcentual con relación al 2023.</v>
      </c>
      <c r="C532" s="61"/>
      <c r="D532" s="248" t="str">
        <f>IF(E532&gt;=0,"Aumento","Disminución")</f>
        <v>Aumento</v>
      </c>
      <c r="E532" s="249">
        <f>+C530/D530</f>
        <v>0.68632169254265774</v>
      </c>
      <c r="J532" s="3"/>
      <c r="N532" s="54"/>
      <c r="R532" s="55"/>
      <c r="S532" s="55"/>
      <c r="T532" s="55"/>
      <c r="U532" s="55"/>
      <c r="V532" s="55"/>
      <c r="W532" s="55"/>
      <c r="X532" s="55"/>
      <c r="Y532" s="55"/>
      <c r="Z532" s="54"/>
    </row>
    <row r="533" spans="2:26" x14ac:dyDescent="0.25">
      <c r="B533" s="11"/>
    </row>
    <row r="534" spans="2:26" x14ac:dyDescent="0.25">
      <c r="B534" s="11"/>
    </row>
    <row r="535" spans="2:26" x14ac:dyDescent="0.25">
      <c r="B535" s="11"/>
    </row>
    <row r="536" spans="2:26" x14ac:dyDescent="0.25">
      <c r="B536" s="11"/>
    </row>
    <row r="537" spans="2:26" x14ac:dyDescent="0.25">
      <c r="B537" s="11"/>
    </row>
    <row r="538" spans="2:26" x14ac:dyDescent="0.25">
      <c r="B538" s="11"/>
    </row>
    <row r="539" spans="2:26" x14ac:dyDescent="0.25">
      <c r="B539" s="11"/>
    </row>
    <row r="540" spans="2:26" x14ac:dyDescent="0.25">
      <c r="B540" s="11"/>
    </row>
    <row r="541" spans="2:26" x14ac:dyDescent="0.25">
      <c r="B541" s="11"/>
    </row>
    <row r="542" spans="2:26" x14ac:dyDescent="0.25">
      <c r="B542" s="11"/>
    </row>
    <row r="543" spans="2:26" x14ac:dyDescent="0.25">
      <c r="B543" s="11"/>
    </row>
    <row r="544" spans="2:26" ht="9.75" customHeight="1" x14ac:dyDescent="0.25">
      <c r="B544" s="11"/>
    </row>
    <row r="545" spans="2:26" x14ac:dyDescent="0.25">
      <c r="B545" s="68" t="s">
        <v>292</v>
      </c>
    </row>
    <row r="546" spans="2:26" x14ac:dyDescent="0.25">
      <c r="B546" s="68" t="s">
        <v>293</v>
      </c>
    </row>
    <row r="547" spans="2:26" ht="38.25" customHeight="1" x14ac:dyDescent="0.25">
      <c r="B547" s="14" t="str">
        <f>("Un detalle de  "&amp;B546&amp;" al "&amp;[1]BALANZA!$B$3&amp;" "&amp;[1]BALANZA!$C$3&amp;" es como se detalla a continuación:")</f>
        <v>Un detalle de  Subvenciones y otros pagos por transferencias al 30 de Septiembre del 2024 - 2023 es como se detalla a continuación:</v>
      </c>
      <c r="C547" s="37"/>
      <c r="D547" s="37"/>
      <c r="E547" s="37"/>
    </row>
    <row r="548" spans="2:26" ht="9" customHeight="1" x14ac:dyDescent="0.25">
      <c r="B548" s="13"/>
    </row>
    <row r="549" spans="2:26" x14ac:dyDescent="0.25">
      <c r="B549" s="180" t="s">
        <v>294</v>
      </c>
      <c r="C549" s="181">
        <f>+C561</f>
        <v>2024</v>
      </c>
      <c r="D549" s="181">
        <f>+D561</f>
        <v>2023</v>
      </c>
      <c r="E549" s="207" t="s">
        <v>218</v>
      </c>
    </row>
    <row r="550" spans="2:26" ht="16.5" customHeight="1" x14ac:dyDescent="0.25">
      <c r="B550" s="250" t="s">
        <v>295</v>
      </c>
      <c r="C550" s="118">
        <f>+'[1]BALANZA G'!C291</f>
        <v>0</v>
      </c>
      <c r="D550" s="244">
        <f>+'[1]BALANZA G'!D291+'[1]BALANZA G'!D292</f>
        <v>391500</v>
      </c>
      <c r="E550" s="87">
        <f>+C550-D550</f>
        <v>-391500</v>
      </c>
    </row>
    <row r="551" spans="2:26" ht="23.25" hidden="1" customHeight="1" x14ac:dyDescent="0.25">
      <c r="B551" s="251"/>
      <c r="C551" s="252"/>
      <c r="D551" s="253"/>
      <c r="E551" s="254"/>
      <c r="I551" s="175"/>
      <c r="J551" s="176"/>
      <c r="K551" s="175"/>
    </row>
    <row r="552" spans="2:26" ht="28.5" x14ac:dyDescent="0.25">
      <c r="B552" s="245" t="s">
        <v>296</v>
      </c>
      <c r="C552" s="124">
        <f>SUM(C550+C551)</f>
        <v>0</v>
      </c>
      <c r="D552" s="197">
        <f>SUM(D550)</f>
        <v>391500</v>
      </c>
      <c r="E552" s="255">
        <f>+C552-D552</f>
        <v>-391500</v>
      </c>
    </row>
    <row r="553" spans="2:26" x14ac:dyDescent="0.25">
      <c r="B553" s="110"/>
      <c r="C553" s="247">
        <f>+C552-[1]ERF!B18</f>
        <v>0</v>
      </c>
      <c r="J553" s="54"/>
    </row>
    <row r="554" spans="2:26" s="50" customFormat="1" x14ac:dyDescent="0.25">
      <c r="B554" s="60" t="str">
        <f>("Cambio porcentual con relación al "&amp;$D$117&amp;".")</f>
        <v>Cambio porcentual con relación al 2023.</v>
      </c>
      <c r="C554" s="61"/>
      <c r="D554" s="62" t="str">
        <f>IF(E554&gt;=0,"Aumento","Disminución")</f>
        <v>Disminución</v>
      </c>
      <c r="E554" s="94">
        <f>+E552/D552</f>
        <v>-1</v>
      </c>
      <c r="J554" s="54"/>
      <c r="N554" s="54"/>
      <c r="R554" s="55"/>
      <c r="S554" s="55"/>
      <c r="T554" s="55"/>
      <c r="U554" s="55"/>
      <c r="V554" s="55"/>
      <c r="W554" s="55"/>
      <c r="X554" s="55"/>
      <c r="Y554" s="55"/>
      <c r="Z554" s="54"/>
    </row>
    <row r="555" spans="2:26" s="50" customFormat="1" ht="17.25" customHeight="1" x14ac:dyDescent="0.25">
      <c r="B555" s="64"/>
      <c r="C555" s="64"/>
      <c r="D555" s="65"/>
      <c r="E555" s="66"/>
      <c r="J555" s="54"/>
      <c r="N555" s="54"/>
      <c r="R555" s="55"/>
      <c r="S555" s="55"/>
      <c r="T555" s="55"/>
      <c r="U555" s="55"/>
      <c r="V555" s="55"/>
      <c r="W555" s="55"/>
      <c r="X555" s="55"/>
      <c r="Y555" s="55"/>
      <c r="Z555" s="54"/>
    </row>
    <row r="556" spans="2:26" s="50" customFormat="1" ht="36.75" customHeight="1" x14ac:dyDescent="0.25">
      <c r="B556" s="64"/>
      <c r="C556" s="64"/>
      <c r="D556" s="65"/>
      <c r="E556" s="66"/>
      <c r="J556" s="3"/>
      <c r="N556" s="54"/>
      <c r="R556" s="55"/>
      <c r="S556" s="55"/>
      <c r="T556" s="55"/>
      <c r="U556" s="55"/>
      <c r="V556" s="55"/>
      <c r="W556" s="55"/>
      <c r="X556" s="55"/>
      <c r="Y556" s="55"/>
      <c r="Z556" s="54"/>
    </row>
    <row r="557" spans="2:26" x14ac:dyDescent="0.25">
      <c r="B557" s="68" t="s">
        <v>297</v>
      </c>
    </row>
    <row r="558" spans="2:26" x14ac:dyDescent="0.25">
      <c r="B558" s="68" t="s">
        <v>298</v>
      </c>
    </row>
    <row r="559" spans="2:26" ht="36.75" customHeight="1" x14ac:dyDescent="0.25">
      <c r="B559" s="14" t="str">
        <f>("Un detalle del "&amp;B558&amp;" al "&amp;[1]BALANZA!$B$3&amp;" "&amp;[1]BALANZA!$C$3&amp;" es como se detalla a continuación:")</f>
        <v>Un detalle del Suministro y materiales para consumo al 30 de Septiembre del 2024 - 2023 es como se detalla a continuación:</v>
      </c>
      <c r="C559" s="37"/>
      <c r="D559" s="37"/>
      <c r="E559" s="37"/>
    </row>
    <row r="560" spans="2:26" ht="8.25" customHeight="1" x14ac:dyDescent="0.25">
      <c r="B560" s="13"/>
    </row>
    <row r="561" spans="2:27" x14ac:dyDescent="0.25">
      <c r="B561" s="180" t="s">
        <v>294</v>
      </c>
      <c r="C561" s="181">
        <f>+[1]BALANZA!B4</f>
        <v>2024</v>
      </c>
      <c r="D561" s="181">
        <f>+[1]BALANZA!C4</f>
        <v>2023</v>
      </c>
      <c r="E561" s="207" t="s">
        <v>218</v>
      </c>
    </row>
    <row r="562" spans="2:27" x14ac:dyDescent="0.25">
      <c r="B562" s="162" t="s">
        <v>299</v>
      </c>
      <c r="C562" s="256">
        <f>+'[1]BALANZA G'!C244+'[1]BALANZA G'!C246+'[1]BALANZA G'!C245+'[1]BALANZA G'!C281</f>
        <v>447187.46</v>
      </c>
      <c r="D562" s="256">
        <f>+'[1]BALANZA G'!D244+'[1]BALANZA G'!D246+'[1]BALANZA G'!D245+'[1]BALANZA G'!D281</f>
        <v>1642896.11</v>
      </c>
      <c r="E562" s="87">
        <f t="shared" ref="E562:E568" si="4">+C562-D562</f>
        <v>-1195708.6500000001</v>
      </c>
      <c r="K562" s="242"/>
      <c r="T562" s="103"/>
      <c r="Z562" s="3">
        <v>1008264.5</v>
      </c>
      <c r="AA562" s="242">
        <f t="shared" ref="AA562:AA567" si="5">+D562-Z562</f>
        <v>634631.6100000001</v>
      </c>
    </row>
    <row r="563" spans="2:27" x14ac:dyDescent="0.25">
      <c r="B563" s="162" t="s">
        <v>300</v>
      </c>
      <c r="C563" s="256">
        <f>+'[1]BALANZA G'!C247+'[1]BALANZA G'!C248+'[1]BALANZA G'!C249</f>
        <v>0</v>
      </c>
      <c r="D563" s="43">
        <f>+'[1]BALANZA G'!D247+'[1]BALANZA G'!D248+'[1]BALANZA G'!D249</f>
        <v>707856.95</v>
      </c>
      <c r="E563" s="87">
        <f t="shared" si="4"/>
        <v>-707856.95</v>
      </c>
      <c r="K563" s="242"/>
      <c r="T563" s="103"/>
      <c r="Z563" s="3">
        <v>1300</v>
      </c>
      <c r="AA563" s="242">
        <f t="shared" si="5"/>
        <v>706556.95</v>
      </c>
    </row>
    <row r="564" spans="2:27" x14ac:dyDescent="0.25">
      <c r="B564" s="162" t="s">
        <v>301</v>
      </c>
      <c r="C564" s="256">
        <f>+'[1]BALANZA G'!C250+'[1]BALANZA G'!C251+'[1]BALANZA G'!C252</f>
        <v>414595.55</v>
      </c>
      <c r="D564" s="43">
        <f>+'[1]BALANZA G'!D250+'[1]BALANZA G'!D251+'[1]BALANZA G'!D252</f>
        <v>913909.64</v>
      </c>
      <c r="E564" s="87">
        <f t="shared" si="4"/>
        <v>-499314.09</v>
      </c>
      <c r="K564" s="242"/>
      <c r="T564" s="103"/>
      <c r="Z564" s="3">
        <v>330702</v>
      </c>
      <c r="AA564" s="242">
        <f t="shared" si="5"/>
        <v>583207.64</v>
      </c>
    </row>
    <row r="565" spans="2:27" x14ac:dyDescent="0.25">
      <c r="B565" s="162" t="s">
        <v>302</v>
      </c>
      <c r="C565" s="256">
        <f>+'[1]BALANZA G'!C254+'[1]BALANZA G'!C256+'[1]BALANZA G'!C260+'[1]BALANZA G'!C255</f>
        <v>6555015</v>
      </c>
      <c r="D565" s="43">
        <f>+'[1]BALANZA G'!D254+'[1]BALANZA G'!D256+'[1]BALANZA G'!D260+'[1]BALANZA G'!D255</f>
        <v>9131302</v>
      </c>
      <c r="E565" s="87">
        <f t="shared" si="4"/>
        <v>-2576287</v>
      </c>
      <c r="K565" s="242"/>
      <c r="T565" s="103"/>
      <c r="Z565" s="3">
        <v>7580799</v>
      </c>
      <c r="AA565" s="242">
        <f t="shared" si="5"/>
        <v>1550503</v>
      </c>
    </row>
    <row r="566" spans="2:27" x14ac:dyDescent="0.25">
      <c r="B566" s="162" t="s">
        <v>303</v>
      </c>
      <c r="C566" s="256">
        <f>+'[1]BALANZA G'!C257+'[1]BALANZA G'!C261+'[1]BALANZA G'!C259+'[1]BALANZA G'!C258+'[1]BALANZA G'!C263</f>
        <v>3191103.6700000004</v>
      </c>
      <c r="D566" s="256">
        <f>+'[1]BALANZA G'!D257+'[1]BALANZA G'!D261+'[1]BALANZA G'!D259+'[1]BALANZA G'!D258+'[1]BALANZA G'!D263</f>
        <v>8487376.4399999995</v>
      </c>
      <c r="E566" s="87">
        <f t="shared" si="4"/>
        <v>-5296272.7699999996</v>
      </c>
      <c r="K566" s="242"/>
      <c r="T566" s="103"/>
      <c r="Z566" s="3">
        <v>7786358.3699999992</v>
      </c>
      <c r="AA566" s="242">
        <f t="shared" si="5"/>
        <v>701018.0700000003</v>
      </c>
    </row>
    <row r="567" spans="2:27" x14ac:dyDescent="0.25">
      <c r="B567" s="162" t="s">
        <v>304</v>
      </c>
      <c r="C567" s="256">
        <f>+'[1]BALANZA G'!C264+'[1]BALANZA G'!C265+'[1]BALANZA G'!C266+'[1]BALANZA G'!C267+'[1]BALANZA G'!C268+'[1]BALANZA G'!C269+'[1]BALANZA G'!C286+'[1]BALANZA G'!C276+'[1]BALANZA G'!C277+'[1]BALANZA G'!C274+'[1]BALANZA G'!C275+'[1]BALANZA G'!C271+'[1]BALANZA G'!C272+'[1]BALANZA G'!C273+'[1]BALANZA G'!C278+'[1]BALANZA G'!C279+'[1]BALANZA G'!C280+'[1]BALANZA G'!C282+'[1]BALANZA G'!C284+'[1]BALANZA G'!C283+'[1]BALANZA G'!C270+'[1]BALANZA G'!C226</f>
        <v>9095077.1999999993</v>
      </c>
      <c r="D567" s="256">
        <f>+'[1]BALANZA G'!D264+'[1]BALANZA G'!D265+'[1]BALANZA G'!D266+'[1]BALANZA G'!D267+'[1]BALANZA G'!D268+'[1]BALANZA G'!D269+'[1]BALANZA G'!D286+'[1]BALANZA G'!D276+'[1]BALANZA G'!D277+'[1]BALANZA G'!D274+'[1]BALANZA G'!D275+'[1]BALANZA G'!D271+'[1]BALANZA G'!D272+'[1]BALANZA G'!D273+'[1]BALANZA G'!D278+'[1]BALANZA G'!D279+'[1]BALANZA G'!D280+'[1]BALANZA G'!D282+'[1]BALANZA G'!D284+'[1]BALANZA G'!D283+'[1]BALANZA G'!D270+'[1]BALANZA G'!D226</f>
        <v>11297066.049999999</v>
      </c>
      <c r="E567" s="87">
        <f t="shared" si="4"/>
        <v>-2201988.8499999996</v>
      </c>
      <c r="K567" s="242"/>
      <c r="T567" s="103"/>
      <c r="Z567" s="3">
        <v>3423165.7</v>
      </c>
      <c r="AA567" s="242">
        <f t="shared" si="5"/>
        <v>7873900.3499999987</v>
      </c>
    </row>
    <row r="568" spans="2:27" x14ac:dyDescent="0.25">
      <c r="B568" s="162" t="s">
        <v>305</v>
      </c>
      <c r="C568" s="256">
        <f>+'[1]BALANZA G'!C287</f>
        <v>0</v>
      </c>
      <c r="D568" s="43">
        <f>+'[1]BALANZA G'!D287</f>
        <v>0</v>
      </c>
      <c r="E568" s="87">
        <f t="shared" si="4"/>
        <v>0</v>
      </c>
    </row>
    <row r="569" spans="2:27" x14ac:dyDescent="0.25">
      <c r="B569" s="245" t="s">
        <v>306</v>
      </c>
      <c r="C569" s="52">
        <f>SUM(C562:C568)</f>
        <v>19702978.879999999</v>
      </c>
      <c r="D569" s="99">
        <f>SUM(D562:D568)</f>
        <v>32180407.189999998</v>
      </c>
      <c r="E569" s="52">
        <f>SUM(E562:E568)</f>
        <v>-12477428.309999999</v>
      </c>
    </row>
    <row r="570" spans="2:27" x14ac:dyDescent="0.25">
      <c r="B570" s="257"/>
      <c r="C570" s="100">
        <f>+C569-[1]ERF!B19</f>
        <v>0</v>
      </c>
      <c r="D570" s="92"/>
      <c r="E570" s="93"/>
      <c r="J570" s="54"/>
    </row>
    <row r="571" spans="2:27" s="50" customFormat="1" x14ac:dyDescent="0.25">
      <c r="B571" s="60" t="str">
        <f>("Cambio porcentual con relación al "&amp;$D$117&amp;".")</f>
        <v>Cambio porcentual con relación al 2023.</v>
      </c>
      <c r="C571" s="61"/>
      <c r="D571" s="62" t="str">
        <f>IF(E571&gt;=0,"Aumento","Disminución")</f>
        <v>Disminución</v>
      </c>
      <c r="E571" s="94">
        <f>+E569/D569</f>
        <v>-0.38773369884136633</v>
      </c>
      <c r="J571" s="3"/>
      <c r="N571" s="54"/>
      <c r="R571" s="55"/>
      <c r="S571" s="55"/>
      <c r="T571" s="55"/>
      <c r="U571" s="55"/>
      <c r="V571" s="55"/>
      <c r="W571" s="55"/>
      <c r="X571" s="55"/>
      <c r="Y571" s="55"/>
      <c r="Z571" s="54"/>
    </row>
    <row r="572" spans="2:27" x14ac:dyDescent="0.25">
      <c r="B572" s="64"/>
      <c r="C572" s="64"/>
      <c r="D572" s="258"/>
      <c r="E572" s="66"/>
    </row>
    <row r="573" spans="2:27" ht="44.25" customHeight="1" x14ac:dyDescent="0.25">
      <c r="B573" s="64"/>
      <c r="C573" s="64"/>
      <c r="D573" s="258"/>
      <c r="E573" s="66"/>
    </row>
    <row r="574" spans="2:27" x14ac:dyDescent="0.25">
      <c r="B574" s="68" t="s">
        <v>307</v>
      </c>
    </row>
    <row r="575" spans="2:27" x14ac:dyDescent="0.25">
      <c r="B575" s="68" t="s">
        <v>308</v>
      </c>
    </row>
    <row r="576" spans="2:27" x14ac:dyDescent="0.25">
      <c r="B576" s="14" t="str">
        <f>("Un detalle del "&amp;B575&amp;" al "&amp;[1]BALANZA!$B$3&amp;" "&amp;[1]BALANZA!$C$3&amp;" es como se detalla a continuación:")</f>
        <v>Un detalle del Gasto de Depreciación y Amortización al 30 de Septiembre del 2024 - 2023 es como se detalla a continuación:</v>
      </c>
      <c r="C576" s="37"/>
      <c r="D576" s="37"/>
      <c r="E576" s="37"/>
    </row>
    <row r="577" spans="2:5" x14ac:dyDescent="0.25">
      <c r="B577" s="13"/>
    </row>
    <row r="578" spans="2:5" x14ac:dyDescent="0.25">
      <c r="B578" s="180" t="s">
        <v>294</v>
      </c>
      <c r="C578" s="181" t="str">
        <f>+[1]BALANZA!B21</f>
        <v>CUENTA  9604127870</v>
      </c>
      <c r="D578" s="181">
        <f>+[1]BALANZA!C21</f>
        <v>945949.71</v>
      </c>
      <c r="E578" s="207" t="s">
        <v>218</v>
      </c>
    </row>
    <row r="579" spans="2:5" x14ac:dyDescent="0.25">
      <c r="B579" s="162" t="s">
        <v>309</v>
      </c>
      <c r="C579" s="256">
        <f>+[1]nota13!K29</f>
        <v>28046103.980000004</v>
      </c>
      <c r="D579" s="43">
        <f>+[1]nota13!K14</f>
        <v>47465209.639999986</v>
      </c>
      <c r="E579" s="87">
        <f>+C579-D579</f>
        <v>-19419105.659999982</v>
      </c>
    </row>
    <row r="580" spans="2:5" x14ac:dyDescent="0.25">
      <c r="B580" s="162" t="s">
        <v>310</v>
      </c>
      <c r="C580" s="256">
        <f>-C362-D580-20309</f>
        <v>131373.99000000002</v>
      </c>
      <c r="D580" s="256">
        <f>-D362-20309</f>
        <v>237996.08</v>
      </c>
      <c r="E580" s="87">
        <f>+C580-D580</f>
        <v>-106622.08999999997</v>
      </c>
    </row>
    <row r="581" spans="2:5" x14ac:dyDescent="0.25">
      <c r="B581" s="162"/>
      <c r="C581" s="256"/>
      <c r="D581" s="43"/>
      <c r="E581" s="87">
        <f>+C581-D581</f>
        <v>0</v>
      </c>
    </row>
    <row r="582" spans="2:5" x14ac:dyDescent="0.25">
      <c r="B582" s="245" t="s">
        <v>311</v>
      </c>
      <c r="C582" s="52">
        <f>SUM(C579:C581)</f>
        <v>28177477.970000003</v>
      </c>
      <c r="D582" s="99">
        <f>SUM(D579:D581)</f>
        <v>47703205.719999984</v>
      </c>
      <c r="E582" s="52">
        <f>SUM(E579:E581)</f>
        <v>-19525727.749999981</v>
      </c>
    </row>
    <row r="583" spans="2:5" x14ac:dyDescent="0.25">
      <c r="B583" s="257"/>
      <c r="C583" s="259">
        <f>+C582-[1]ERF!B20</f>
        <v>0</v>
      </c>
      <c r="D583" s="259">
        <f>+D582-[1]ERF!C20</f>
        <v>0</v>
      </c>
      <c r="E583" s="93"/>
    </row>
    <row r="584" spans="2:5" x14ac:dyDescent="0.25">
      <c r="B584" s="60" t="str">
        <f>("Cambio porcentual con relación al "&amp;$D$117&amp;".")</f>
        <v>Cambio porcentual con relación al 2023.</v>
      </c>
      <c r="C584" s="61"/>
      <c r="D584" s="62" t="str">
        <f>IF(E584&gt;=0,"Aumento","Disminución")</f>
        <v>Disminución</v>
      </c>
      <c r="E584" s="94">
        <f>+E582/D582</f>
        <v>-0.40931688877700834</v>
      </c>
    </row>
    <row r="585" spans="2:5" x14ac:dyDescent="0.25">
      <c r="B585" s="64"/>
      <c r="C585" s="64"/>
      <c r="D585" s="258"/>
      <c r="E585" s="66"/>
    </row>
    <row r="586" spans="2:5" x14ac:dyDescent="0.25">
      <c r="B586" s="64"/>
      <c r="C586" s="64"/>
      <c r="D586" s="258"/>
      <c r="E586" s="66"/>
    </row>
    <row r="587" spans="2:5" ht="11.25" customHeight="1" x14ac:dyDescent="0.25">
      <c r="B587" s="64"/>
      <c r="C587" s="260"/>
      <c r="D587" s="258"/>
      <c r="E587" s="66"/>
    </row>
    <row r="588" spans="2:5" ht="9.75" customHeight="1" x14ac:dyDescent="0.25">
      <c r="B588" s="64"/>
      <c r="C588" s="64"/>
      <c r="D588" s="258"/>
      <c r="E588" s="66"/>
    </row>
    <row r="589" spans="2:5" ht="60" customHeight="1" x14ac:dyDescent="0.25">
      <c r="B589" s="64"/>
      <c r="C589" s="64"/>
      <c r="D589" s="258"/>
      <c r="E589" s="66"/>
    </row>
    <row r="590" spans="2:5" ht="16.5" customHeight="1" x14ac:dyDescent="0.25">
      <c r="B590" s="261" t="s">
        <v>312</v>
      </c>
    </row>
    <row r="591" spans="2:5" x14ac:dyDescent="0.25">
      <c r="B591" s="261" t="s">
        <v>313</v>
      </c>
    </row>
    <row r="592" spans="2:5" ht="18.75" customHeight="1" x14ac:dyDescent="0.25">
      <c r="B592" s="14" t="str">
        <f>("Un detalle de "&amp;B591&amp;" al "&amp;[1]BALANZA!$B$3&amp;" "&amp;[1]BALANZA!$C$3&amp;" es como se detalla a continuación:")</f>
        <v>Un detalle de Otros gastos  al 30 de Septiembre del 2024 - 2023 es como se detalla a continuación:</v>
      </c>
      <c r="C592" s="37"/>
      <c r="D592" s="37"/>
      <c r="E592" s="37"/>
    </row>
    <row r="593" spans="2:26" ht="8.25" customHeight="1" x14ac:dyDescent="0.25">
      <c r="B593" s="13"/>
      <c r="G593" s="10"/>
    </row>
    <row r="594" spans="2:26" ht="18.75" customHeight="1" x14ac:dyDescent="0.25">
      <c r="B594" s="38" t="s">
        <v>314</v>
      </c>
      <c r="C594" s="39">
        <f>+[1]BALANZA!B4</f>
        <v>2024</v>
      </c>
      <c r="D594" s="39">
        <f>+[1]BALANZA!C4</f>
        <v>2023</v>
      </c>
      <c r="E594" s="207" t="s">
        <v>218</v>
      </c>
    </row>
    <row r="595" spans="2:26" x14ac:dyDescent="0.25">
      <c r="B595" s="119" t="s">
        <v>315</v>
      </c>
      <c r="C595" s="262">
        <f>+'[1]BALANZA G'!C191+'[1]BALANZA G'!C192+'[1]BALANZA G'!C193+'[1]BALANZA G'!C194</f>
        <v>2142259.5</v>
      </c>
      <c r="D595" s="262">
        <f>+'[1]BALANZA G'!D191+'[1]BALANZA G'!D192+'[1]BALANZA G'!D193+'[1]BALANZA G'!D194</f>
        <v>2856529.28</v>
      </c>
      <c r="E595" s="49">
        <f>+C595-D595</f>
        <v>-714269.7799999998</v>
      </c>
      <c r="I595" s="96"/>
      <c r="U595" s="213"/>
    </row>
    <row r="596" spans="2:26" x14ac:dyDescent="0.25">
      <c r="B596" s="119" t="s">
        <v>316</v>
      </c>
      <c r="C596" s="262">
        <f>+'[1]BALANZA G'!C195</f>
        <v>47951377.799999997</v>
      </c>
      <c r="D596" s="262">
        <f>+'[1]BALANZA G'!D195</f>
        <v>58090474.640000001</v>
      </c>
      <c r="E596" s="49">
        <f>+C596-D596</f>
        <v>-10139096.840000004</v>
      </c>
      <c r="I596" s="96"/>
      <c r="U596" s="213"/>
    </row>
    <row r="597" spans="2:26" x14ac:dyDescent="0.25">
      <c r="B597" s="162" t="s">
        <v>317</v>
      </c>
      <c r="C597" s="262">
        <f>+'[1]BALANZA G'!C198+'[1]BALANZA G'!C196</f>
        <v>769938.08000000007</v>
      </c>
      <c r="D597" s="262">
        <f>+'[1]BALANZA G'!D198+'[1]BALANZA G'!D196</f>
        <v>733346.98</v>
      </c>
      <c r="E597" s="49">
        <f t="shared" ref="E597:E603" si="6">+C597-D597</f>
        <v>36591.100000000093</v>
      </c>
      <c r="I597" s="96"/>
      <c r="U597" s="213"/>
    </row>
    <row r="598" spans="2:26" x14ac:dyDescent="0.25">
      <c r="B598" s="162" t="s">
        <v>318</v>
      </c>
      <c r="C598" s="262">
        <f>+'[1]BALANZA G'!C200+'[1]BALANZA G'!C199+'[1]BALANZA G'!C197</f>
        <v>593950</v>
      </c>
      <c r="D598" s="262">
        <f>+'[1]BALANZA G'!D197+'[1]BALANZA G'!D199+'[1]BALANZA G'!D200</f>
        <v>1276469.5</v>
      </c>
      <c r="E598" s="49">
        <f t="shared" si="6"/>
        <v>-682519.5</v>
      </c>
      <c r="I598" s="96"/>
      <c r="U598" s="213"/>
    </row>
    <row r="599" spans="2:26" x14ac:dyDescent="0.25">
      <c r="B599" s="162" t="s">
        <v>319</v>
      </c>
      <c r="C599" s="262">
        <f>+'[1]BALANZA G'!C203+'[1]BALANZA G'!C202+'[1]BALANZA G'!C201</f>
        <v>175</v>
      </c>
      <c r="D599" s="262">
        <f>+'[1]BALANZA G'!D203+'[1]BALANZA G'!D202+'[1]BALANZA G'!D201</f>
        <v>1300</v>
      </c>
      <c r="E599" s="49">
        <f t="shared" si="6"/>
        <v>-1125</v>
      </c>
      <c r="I599" s="96"/>
      <c r="U599" s="213"/>
    </row>
    <row r="600" spans="2:26" x14ac:dyDescent="0.25">
      <c r="B600" s="119" t="s">
        <v>320</v>
      </c>
      <c r="C600" s="262">
        <f>+'[1]BALANZA G'!C205+'[1]BALANZA G'!C206+'[1]BALANZA G'!C208+'[1]BALANZA G'!C209+'[1]BALANZA G'!C210+'[1]BALANZA G'!C207+'[1]BALANZA G'!C211</f>
        <v>1605841.52</v>
      </c>
      <c r="D600" s="262">
        <f>+'[1]BALANZA G'!D205+'[1]BALANZA G'!D206+'[1]BALANZA G'!D208+'[1]BALANZA G'!D209+'[1]BALANZA G'!D210+'[1]BALANZA G'!D207</f>
        <v>3318996.1599999997</v>
      </c>
      <c r="E600" s="49">
        <f t="shared" si="6"/>
        <v>-1713154.6399999997</v>
      </c>
      <c r="I600" s="96"/>
      <c r="U600" s="213"/>
    </row>
    <row r="601" spans="2:26" x14ac:dyDescent="0.25">
      <c r="B601" s="119" t="s">
        <v>321</v>
      </c>
      <c r="C601" s="262">
        <f>+'[1]BALANZA G'!C212+'[1]BALANZA G'!C213</f>
        <v>433988.76</v>
      </c>
      <c r="D601" s="262">
        <f>+'[1]BALANZA G'!D213+'[1]BALANZA G'!D212</f>
        <v>493233.52999999997</v>
      </c>
      <c r="E601" s="49">
        <f t="shared" si="6"/>
        <v>-59244.76999999996</v>
      </c>
      <c r="I601" s="96"/>
      <c r="U601" s="213"/>
    </row>
    <row r="602" spans="2:26" ht="30" x14ac:dyDescent="0.25">
      <c r="B602" s="162" t="s">
        <v>322</v>
      </c>
      <c r="C602" s="262">
        <f>+'[1]BALANZA G'!C215+'[1]BALANZA G'!C216+'[1]BALANZA G'!C217+'[1]BALANZA G'!C218+'[1]BALANZA G'!C219+'[1]BALANZA G'!C221+'[1]BALANZA G'!C222+'[1]BALANZA G'!C223+'[1]BALANZA G'!C224+'[1]BALANZA G'!C225+'[1]BALANZA G'!C227+'[1]BALANZA G'!C228+'[1]BALANZA G'!C229+'[1]BALANZA G'!C220</f>
        <v>5532806.6699999999</v>
      </c>
      <c r="D602" s="262">
        <f>+'[1]BALANZA G'!D215+'[1]BALANZA G'!D216+'[1]BALANZA G'!D217+'[1]BALANZA G'!D218+'[1]BALANZA G'!D219+'[1]BALANZA G'!D221+'[1]BALANZA G'!D222+'[1]BALANZA G'!D223+'[1]BALANZA G'!D224+'[1]BALANZA G'!D225+'[1]BALANZA G'!D227+'[1]BALANZA G'!D228+'[1]BALANZA G'!D229+'[1]BALANZA G'!D220</f>
        <v>1738683.3199999998</v>
      </c>
      <c r="E602" s="263">
        <f t="shared" si="6"/>
        <v>3794123.35</v>
      </c>
      <c r="I602" s="96"/>
      <c r="U602" s="213"/>
    </row>
    <row r="603" spans="2:26" ht="21.75" customHeight="1" x14ac:dyDescent="0.25">
      <c r="B603" s="162" t="s">
        <v>323</v>
      </c>
      <c r="C603" s="262">
        <f>+'[1]BALANZA G'!C231+'[1]BALANZA G'!C232+'[1]BALANZA G'!C234+'[1]BALANZA G'!C235+'[1]BALANZA G'!C236+'[1]BALANZA G'!C238+'[1]BALANZA G'!C185+'[1]BALANZA G'!C186+'[1]BALANZA G'!C190+'[1]BALANZA G'!C237</f>
        <v>4620693.3100000005</v>
      </c>
      <c r="D603" s="262">
        <f>+'[1]BALANZA G'!D185+'[1]BALANZA G'!D186+'[1]BALANZA G'!D231+'[1]BALANZA G'!D234+'[1]BALANZA G'!D235+'[1]BALANZA G'!D236+'[1]BALANZA G'!D238+'[1]BALANZA G'!D232+'[1]BALANZA G'!D190+'[1]BALANZA G'!D237</f>
        <v>9598083.2300000004</v>
      </c>
      <c r="E603" s="264">
        <f t="shared" si="6"/>
        <v>-4977389.92</v>
      </c>
      <c r="I603" s="96"/>
      <c r="U603" s="213"/>
    </row>
    <row r="604" spans="2:26" ht="18.75" customHeight="1" x14ac:dyDescent="0.25">
      <c r="B604" s="89" t="s">
        <v>324</v>
      </c>
      <c r="C604" s="52">
        <f>SUM(C595:C603)</f>
        <v>63651030.640000001</v>
      </c>
      <c r="D604" s="112">
        <f>SUM(D595:D603)</f>
        <v>78107116.640000001</v>
      </c>
      <c r="E604" s="265">
        <f>SUM(E595:E603)</f>
        <v>-14456086.000000004</v>
      </c>
    </row>
    <row r="605" spans="2:26" ht="12.75" customHeight="1" x14ac:dyDescent="0.25">
      <c r="B605" s="13" t="s">
        <v>112</v>
      </c>
      <c r="C605" s="247">
        <f>+C604-[1]ERF!B22</f>
        <v>0</v>
      </c>
      <c r="J605" s="54"/>
    </row>
    <row r="606" spans="2:26" s="50" customFormat="1" x14ac:dyDescent="0.25">
      <c r="B606" s="60" t="str">
        <f>("Cambio porcentual con relación al "&amp;$D$117&amp;".")</f>
        <v>Cambio porcentual con relación al 2023.</v>
      </c>
      <c r="C606" s="61"/>
      <c r="D606" s="62" t="str">
        <f>IF(E606&gt;=0,"Aumento","Disminución")</f>
        <v>Disminución</v>
      </c>
      <c r="E606" s="94">
        <f>+E604/D604</f>
        <v>-0.18508026697015204</v>
      </c>
      <c r="J606" s="3"/>
      <c r="N606" s="54"/>
      <c r="R606" s="55"/>
      <c r="S606" s="55"/>
      <c r="T606" s="55"/>
      <c r="U606" s="55"/>
      <c r="V606" s="55"/>
      <c r="W606" s="55"/>
      <c r="X606" s="55"/>
      <c r="Y606" s="55"/>
      <c r="Z606" s="54"/>
    </row>
    <row r="607" spans="2:26" s="50" customFormat="1" x14ac:dyDescent="0.25">
      <c r="B607" s="64"/>
      <c r="C607" s="64"/>
      <c r="D607" s="65"/>
      <c r="E607" s="66"/>
      <c r="J607" s="3"/>
      <c r="N607" s="54"/>
      <c r="R607" s="55"/>
      <c r="S607" s="55"/>
      <c r="T607" s="55"/>
      <c r="U607" s="55"/>
      <c r="V607" s="55"/>
      <c r="W607" s="55"/>
      <c r="X607" s="55"/>
      <c r="Y607" s="55"/>
      <c r="Z607" s="54"/>
    </row>
    <row r="608" spans="2:26" s="50" customFormat="1" x14ac:dyDescent="0.25">
      <c r="B608" s="64"/>
      <c r="C608" s="64"/>
      <c r="D608" s="65"/>
      <c r="E608" s="66"/>
      <c r="J608" s="3"/>
      <c r="N608" s="54"/>
      <c r="R608" s="55"/>
      <c r="S608" s="55"/>
      <c r="T608" s="55"/>
      <c r="U608" s="55"/>
      <c r="V608" s="55"/>
      <c r="W608" s="55"/>
      <c r="X608" s="55"/>
      <c r="Y608" s="55"/>
      <c r="Z608" s="54"/>
    </row>
    <row r="609" spans="2:26" ht="10.5" customHeight="1" x14ac:dyDescent="0.25">
      <c r="B609" s="64"/>
      <c r="C609" s="64"/>
      <c r="D609" s="258"/>
      <c r="E609" s="66"/>
    </row>
    <row r="610" spans="2:26" x14ac:dyDescent="0.25">
      <c r="B610" s="68" t="s">
        <v>325</v>
      </c>
    </row>
    <row r="611" spans="2:26" ht="21" customHeight="1" x14ac:dyDescent="0.25">
      <c r="B611" s="68" t="s">
        <v>326</v>
      </c>
    </row>
    <row r="612" spans="2:26" ht="30" customHeight="1" x14ac:dyDescent="0.25">
      <c r="B612" s="14" t="str">
        <f>("Un detalle del "&amp;B611&amp;" al "&amp;[1]BALANZA!$B$3&amp;" "&amp;[1]BALANZA!$C$3&amp;" es como se detalla a continuación:")</f>
        <v>Un detalle del Gastos Financieros  al 30 de Septiembre del 2024 - 2023 es como se detalla a continuación:</v>
      </c>
      <c r="C612" s="37"/>
      <c r="D612" s="37"/>
      <c r="E612" s="37"/>
    </row>
    <row r="613" spans="2:26" ht="13.5" customHeight="1" x14ac:dyDescent="0.25">
      <c r="B613" s="2"/>
    </row>
    <row r="614" spans="2:26" x14ac:dyDescent="0.25">
      <c r="B614" s="41" t="str">
        <f>+B594</f>
        <v>PARTIDA</v>
      </c>
      <c r="C614" s="266">
        <f>+C594</f>
        <v>2024</v>
      </c>
      <c r="D614" s="266">
        <f>+D594</f>
        <v>2023</v>
      </c>
      <c r="E614" s="207" t="s">
        <v>218</v>
      </c>
    </row>
    <row r="615" spans="2:26" x14ac:dyDescent="0.25">
      <c r="B615" s="162" t="s">
        <v>327</v>
      </c>
      <c r="C615" s="43">
        <f>+'[1]BALANZA G'!C233</f>
        <v>594176.49</v>
      </c>
      <c r="D615" s="43">
        <f>+'[1]BALANZA G'!D233</f>
        <v>746207.89</v>
      </c>
      <c r="E615" s="49">
        <f>+C615-D615</f>
        <v>-152031.40000000002</v>
      </c>
    </row>
    <row r="616" spans="2:26" hidden="1" x14ac:dyDescent="0.25">
      <c r="B616" s="162" t="s">
        <v>328</v>
      </c>
      <c r="C616" s="43">
        <f>+'[1]BALANZA G'!C239</f>
        <v>0</v>
      </c>
      <c r="D616" s="43">
        <f>+'[1]BALANZA G'!D239</f>
        <v>0</v>
      </c>
      <c r="E616" s="49">
        <f>+C616-D616</f>
        <v>0</v>
      </c>
    </row>
    <row r="617" spans="2:26" x14ac:dyDescent="0.25">
      <c r="B617" s="245" t="s">
        <v>329</v>
      </c>
      <c r="C617" s="99">
        <f>SUM(C615:C616)</f>
        <v>594176.49</v>
      </c>
      <c r="D617" s="99">
        <f>SUM(D615:D616)</f>
        <v>746207.89</v>
      </c>
      <c r="E617" s="99">
        <f>SUM(E615:E616)</f>
        <v>-152031.40000000002</v>
      </c>
    </row>
    <row r="618" spans="2:26" x14ac:dyDescent="0.25">
      <c r="B618" s="267"/>
      <c r="C618" s="106">
        <f>+C617-[1]ERF!B23</f>
        <v>0</v>
      </c>
      <c r="D618" s="107"/>
      <c r="E618" s="108"/>
      <c r="J618" s="54"/>
    </row>
    <row r="619" spans="2:26" s="50" customFormat="1" x14ac:dyDescent="0.25">
      <c r="B619" s="60" t="str">
        <f>("Cambio porcentual con relación al "&amp;$D$117&amp;".")</f>
        <v>Cambio porcentual con relación al 2023.</v>
      </c>
      <c r="C619" s="61"/>
      <c r="D619" s="62" t="str">
        <f>IF(E619&gt;=0,"Aumento","Disminución")</f>
        <v>Disminución</v>
      </c>
      <c r="E619" s="94">
        <f>+E617/D617</f>
        <v>-0.20373866590984455</v>
      </c>
      <c r="J619" s="3"/>
      <c r="N619" s="54"/>
      <c r="R619" s="55"/>
      <c r="S619" s="55"/>
      <c r="T619" s="55"/>
      <c r="U619" s="55"/>
      <c r="V619" s="55"/>
      <c r="W619" s="55"/>
      <c r="X619" s="55"/>
      <c r="Y619" s="55"/>
      <c r="Z619" s="54"/>
    </row>
    <row r="620" spans="2:26" x14ac:dyDescent="0.25">
      <c r="B620" s="64"/>
      <c r="C620" s="64"/>
      <c r="D620" s="258"/>
      <c r="E620" s="66"/>
    </row>
    <row r="621" spans="2:26" x14ac:dyDescent="0.25">
      <c r="B621" s="68" t="s">
        <v>330</v>
      </c>
      <c r="C621" s="64"/>
      <c r="D621" s="258"/>
      <c r="E621" s="66"/>
    </row>
    <row r="622" spans="2:26" x14ac:dyDescent="0.25">
      <c r="B622" s="68" t="s">
        <v>331</v>
      </c>
      <c r="C622" s="64"/>
      <c r="D622" s="258"/>
      <c r="E622" s="66"/>
    </row>
    <row r="623" spans="2:26" ht="15" customHeight="1" x14ac:dyDescent="0.25">
      <c r="B623" s="14" t="str">
        <f>("Un detalle de "&amp;B622&amp;" al "&amp;[1]BALANZA!$B$3&amp;" "&amp;[1]BALANZA!$C$3&amp;" es como se detalla a continuación:")</f>
        <v>Un detalle de Compromisos y contingencias al 30 de Septiembre del 2024 - 2023 es como se detalla a continuación:</v>
      </c>
      <c r="C623" s="37"/>
      <c r="D623" s="37"/>
      <c r="E623" s="37"/>
    </row>
    <row r="624" spans="2:26" ht="41.25" customHeight="1" x14ac:dyDescent="0.25">
      <c r="B624" s="20" t="str">
        <f>("La facturación historica no cobrada a la fecha de corte, para el "&amp;C626&amp;" presenta un monto de RD$"&amp;R629&amp;" y para el "&amp;D626&amp;" presenta un monto de RD$"&amp;R630&amp;"." )</f>
        <v>La facturación historica no cobrada a la fecha de corte, para el 2024 presenta un monto de RD$513,985,120.94 y para el 2023 presenta un monto de RD$453,841,689.00.</v>
      </c>
      <c r="C624" s="20"/>
      <c r="D624" s="20"/>
      <c r="E624" s="20"/>
    </row>
    <row r="625" spans="2:26" ht="13.5" customHeight="1" x14ac:dyDescent="0.25">
      <c r="B625" s="20"/>
      <c r="C625" s="20"/>
      <c r="D625" s="20"/>
      <c r="E625" s="20"/>
    </row>
    <row r="626" spans="2:26" x14ac:dyDescent="0.25">
      <c r="B626" s="266" t="str">
        <f>+B614</f>
        <v>PARTIDA</v>
      </c>
      <c r="C626" s="266">
        <f>+C614</f>
        <v>2024</v>
      </c>
      <c r="D626" s="266">
        <f>+D614</f>
        <v>2023</v>
      </c>
      <c r="E626" s="207" t="s">
        <v>218</v>
      </c>
    </row>
    <row r="627" spans="2:26" x14ac:dyDescent="0.25">
      <c r="B627" s="162" t="s">
        <v>332</v>
      </c>
      <c r="C627" s="256">
        <f>+C641</f>
        <v>1817264</v>
      </c>
      <c r="D627" s="256">
        <f>+D641</f>
        <v>7909235</v>
      </c>
      <c r="E627" s="87">
        <f>+C627-D627</f>
        <v>-6091971</v>
      </c>
    </row>
    <row r="628" spans="2:26" x14ac:dyDescent="0.25">
      <c r="B628" s="162" t="s">
        <v>333</v>
      </c>
      <c r="C628" s="256">
        <f>+C652-C627</f>
        <v>512167856.94</v>
      </c>
      <c r="D628" s="256">
        <f>+D652-D627</f>
        <v>445932454</v>
      </c>
      <c r="E628" s="87">
        <f>+C628-D628</f>
        <v>66235402.939999998</v>
      </c>
    </row>
    <row r="629" spans="2:26" x14ac:dyDescent="0.25">
      <c r="B629" s="245" t="s">
        <v>334</v>
      </c>
      <c r="C629" s="52">
        <f>SUM(C627:C628)</f>
        <v>513985120.94</v>
      </c>
      <c r="D629" s="52">
        <f>SUM(D627:D628)</f>
        <v>453841689</v>
      </c>
      <c r="E629" s="52">
        <f>SUM(E627:E628)</f>
        <v>60143431.939999998</v>
      </c>
      <c r="R629" s="4" t="str">
        <f>+CONCATENATE(S629,",",T629,",",U629,V629,AB629)</f>
        <v>513,985,120.94</v>
      </c>
      <c r="S629" s="4" t="str">
        <f>MID(C629,1,3)</f>
        <v>513</v>
      </c>
      <c r="T629" s="4" t="str">
        <f>MID(C629,4,3)</f>
        <v>985</v>
      </c>
      <c r="U629" s="4" t="str">
        <f>MID(C629,7,3)</f>
        <v>120</v>
      </c>
      <c r="V629" s="4" t="str">
        <f>MID(C629,10,3)</f>
        <v>.94</v>
      </c>
    </row>
    <row r="630" spans="2:26" x14ac:dyDescent="0.25">
      <c r="B630" s="267"/>
      <c r="C630" s="268"/>
      <c r="D630" s="107"/>
      <c r="E630" s="108"/>
      <c r="J630" s="54"/>
      <c r="R630" s="4" t="str">
        <f>+CONCATENATE(S630,",",T630,",",U630,V630,AB630,".00")</f>
        <v>453,841,689.00</v>
      </c>
      <c r="S630" s="4" t="str">
        <f>MID(D629,1,3)</f>
        <v>453</v>
      </c>
      <c r="T630" s="4" t="str">
        <f>MID(D629,4,3)</f>
        <v>841</v>
      </c>
      <c r="U630" s="4" t="str">
        <f>MID(D629,7,3)</f>
        <v>689</v>
      </c>
      <c r="V630" s="4" t="str">
        <f>MID(D629,10,3)</f>
        <v/>
      </c>
    </row>
    <row r="631" spans="2:26" s="50" customFormat="1" x14ac:dyDescent="0.25">
      <c r="B631" s="60" t="str">
        <f>("Cambio porcentual con relación al "&amp;$D$117&amp;".")</f>
        <v>Cambio porcentual con relación al 2023.</v>
      </c>
      <c r="C631" s="61"/>
      <c r="D631" s="269" t="str">
        <f>IF(E631&gt;=0,"Aumento","Disminución")</f>
        <v>Aumento</v>
      </c>
      <c r="E631" s="270">
        <f>IFERROR((+E629/D629),0)</f>
        <v>0.13252073002046313</v>
      </c>
      <c r="J631" s="3"/>
      <c r="N631" s="54"/>
      <c r="R631" s="55"/>
      <c r="S631" s="55"/>
      <c r="T631" s="55"/>
      <c r="U631" s="55"/>
      <c r="V631" s="55"/>
      <c r="W631" s="55"/>
      <c r="X631" s="55"/>
      <c r="Y631" s="55"/>
      <c r="Z631" s="54"/>
    </row>
    <row r="632" spans="2:26" ht="13.5" customHeight="1" x14ac:dyDescent="0.25">
      <c r="B632" s="16"/>
      <c r="C632" s="16"/>
      <c r="D632" s="16"/>
      <c r="E632" s="16"/>
    </row>
    <row r="633" spans="2:26" ht="14.25" customHeight="1" x14ac:dyDescent="0.25"/>
    <row r="634" spans="2:26" ht="14.25" customHeight="1" x14ac:dyDescent="0.25"/>
    <row r="635" spans="2:26" ht="70.5" customHeight="1" x14ac:dyDescent="0.25">
      <c r="B635" s="271" t="s">
        <v>335</v>
      </c>
      <c r="C635" s="271"/>
      <c r="D635" s="271"/>
      <c r="E635" s="271"/>
    </row>
    <row r="636" spans="2:26" s="5" customFormat="1" ht="42.75" customHeight="1" x14ac:dyDescent="0.2">
      <c r="B636" s="272" t="str">
        <f>("La informacion de  Cuentas por Cobrar según el Sistema Comercial al "&amp;[1]BALANZA!B3&amp;" "&amp;[1]BALANZA!C3&amp;" se detalla a continuación")</f>
        <v>La informacion de  Cuentas por Cobrar según el Sistema Comercial al 30 de Septiembre del 2024 - 2023 se detalla a continuación</v>
      </c>
      <c r="C636" s="272"/>
      <c r="D636" s="272"/>
      <c r="E636" s="272"/>
      <c r="J636" s="6"/>
      <c r="N636" s="6"/>
      <c r="R636" s="273"/>
      <c r="S636" s="273"/>
      <c r="T636" s="273"/>
      <c r="U636" s="273"/>
      <c r="V636" s="273"/>
      <c r="W636" s="273"/>
      <c r="X636" s="273"/>
      <c r="Y636" s="273"/>
      <c r="Z636" s="6"/>
    </row>
    <row r="637" spans="2:26" x14ac:dyDescent="0.25">
      <c r="B637" s="207" t="str">
        <f>+B626</f>
        <v>PARTIDA</v>
      </c>
      <c r="C637" s="207">
        <f>+C626</f>
        <v>2024</v>
      </c>
      <c r="D637" s="207">
        <f>+D626</f>
        <v>2023</v>
      </c>
      <c r="E637" s="274"/>
    </row>
    <row r="638" spans="2:26" x14ac:dyDescent="0.25">
      <c r="B638" s="223"/>
      <c r="C638" s="49"/>
      <c r="D638" s="275"/>
    </row>
    <row r="639" spans="2:26" x14ac:dyDescent="0.25">
      <c r="B639" s="223" t="s">
        <v>336</v>
      </c>
      <c r="C639" s="49">
        <v>243262</v>
      </c>
      <c r="D639" s="183">
        <v>235712</v>
      </c>
    </row>
    <row r="640" spans="2:26" x14ac:dyDescent="0.25">
      <c r="B640" s="223" t="s">
        <v>337</v>
      </c>
      <c r="C640" s="49">
        <v>2000</v>
      </c>
      <c r="D640" s="183">
        <v>1210</v>
      </c>
    </row>
    <row r="641" spans="2:5" x14ac:dyDescent="0.25">
      <c r="B641" s="223" t="s">
        <v>338</v>
      </c>
      <c r="C641" s="49">
        <f>980788+836476</f>
        <v>1817264</v>
      </c>
      <c r="D641" s="183">
        <f>7130810+778425</f>
        <v>7909235</v>
      </c>
    </row>
    <row r="642" spans="2:5" x14ac:dyDescent="0.25">
      <c r="B642" s="223" t="s">
        <v>339</v>
      </c>
      <c r="C642" s="49">
        <v>590249</v>
      </c>
      <c r="D642" s="183">
        <v>869044</v>
      </c>
    </row>
    <row r="643" spans="2:5" x14ac:dyDescent="0.25">
      <c r="B643" s="223" t="s">
        <v>340</v>
      </c>
      <c r="C643" s="49">
        <v>635899</v>
      </c>
      <c r="D643" s="183">
        <v>920884</v>
      </c>
    </row>
    <row r="644" spans="2:5" x14ac:dyDescent="0.25">
      <c r="B644" s="276" t="s">
        <v>341</v>
      </c>
      <c r="C644" s="277">
        <f>SUM(C639:C643)</f>
        <v>3288674</v>
      </c>
      <c r="D644" s="277">
        <f>SUM(D639:D643)</f>
        <v>9936085</v>
      </c>
    </row>
    <row r="645" spans="2:5" x14ac:dyDescent="0.25">
      <c r="B645" s="223" t="s">
        <v>336</v>
      </c>
      <c r="C645" s="49">
        <v>24407875</v>
      </c>
      <c r="D645" s="183">
        <f>14368305</f>
        <v>14368305</v>
      </c>
    </row>
    <row r="646" spans="2:5" x14ac:dyDescent="0.25">
      <c r="B646" s="223" t="s">
        <v>337</v>
      </c>
      <c r="C646" s="49">
        <v>90874</v>
      </c>
      <c r="D646" s="183">
        <v>68295</v>
      </c>
    </row>
    <row r="647" spans="2:5" x14ac:dyDescent="0.25">
      <c r="B647" s="223" t="s">
        <v>342</v>
      </c>
      <c r="C647" s="49">
        <v>267076</v>
      </c>
      <c r="D647" s="183">
        <v>63646</v>
      </c>
    </row>
    <row r="648" spans="2:5" x14ac:dyDescent="0.25">
      <c r="B648" s="223" t="s">
        <v>343</v>
      </c>
      <c r="C648" s="49">
        <v>3804338</v>
      </c>
      <c r="D648" s="183">
        <v>3352009</v>
      </c>
    </row>
    <row r="649" spans="2:5" x14ac:dyDescent="0.25">
      <c r="B649" s="223" t="s">
        <v>339</v>
      </c>
      <c r="C649" s="49">
        <v>197155719.75</v>
      </c>
      <c r="D649" s="183">
        <v>133132858</v>
      </c>
    </row>
    <row r="650" spans="2:5" x14ac:dyDescent="0.25">
      <c r="B650" s="223" t="s">
        <v>340</v>
      </c>
      <c r="C650" s="49">
        <v>284970564.19</v>
      </c>
      <c r="D650" s="183">
        <v>292920491</v>
      </c>
    </row>
    <row r="651" spans="2:5" x14ac:dyDescent="0.25">
      <c r="B651" s="276" t="s">
        <v>341</v>
      </c>
      <c r="C651" s="277">
        <f>SUM(C645:C650)</f>
        <v>510696446.94</v>
      </c>
      <c r="D651" s="277">
        <f>SUM(D645:D650)</f>
        <v>443905604</v>
      </c>
    </row>
    <row r="652" spans="2:5" x14ac:dyDescent="0.25">
      <c r="B652" s="276" t="s">
        <v>344</v>
      </c>
      <c r="C652" s="277">
        <f>+C644+C651</f>
        <v>513985120.94</v>
      </c>
      <c r="D652" s="277">
        <f>+D644+D651</f>
        <v>453841689</v>
      </c>
    </row>
    <row r="653" spans="2:5" x14ac:dyDescent="0.25">
      <c r="B653" s="278"/>
      <c r="E653" s="274"/>
    </row>
    <row r="654" spans="2:5" x14ac:dyDescent="0.25">
      <c r="B654" s="278"/>
      <c r="C654" s="279"/>
      <c r="E654" s="280"/>
    </row>
    <row r="655" spans="2:5" x14ac:dyDescent="0.25">
      <c r="B655" s="278"/>
      <c r="E655" s="280"/>
    </row>
    <row r="656" spans="2:5" x14ac:dyDescent="0.25">
      <c r="B656" s="278"/>
      <c r="E656" s="274"/>
    </row>
    <row r="657" spans="2:5" x14ac:dyDescent="0.25">
      <c r="B657" s="278"/>
      <c r="E657" s="274"/>
    </row>
    <row r="658" spans="2:5" x14ac:dyDescent="0.25">
      <c r="B658" s="278"/>
      <c r="E658" s="280"/>
    </row>
    <row r="659" spans="2:5" x14ac:dyDescent="0.25">
      <c r="B659" s="278"/>
      <c r="E659" s="274"/>
    </row>
    <row r="660" spans="2:5" x14ac:dyDescent="0.25">
      <c r="B660" s="278"/>
      <c r="E660" s="274"/>
    </row>
    <row r="661" spans="2:5" x14ac:dyDescent="0.25">
      <c r="B661" s="278"/>
      <c r="E661" s="274"/>
    </row>
    <row r="662" spans="2:5" x14ac:dyDescent="0.25">
      <c r="B662" s="278"/>
      <c r="E662" s="274"/>
    </row>
    <row r="663" spans="2:5" x14ac:dyDescent="0.25">
      <c r="B663" s="278"/>
      <c r="E663" s="274"/>
    </row>
    <row r="664" spans="2:5" x14ac:dyDescent="0.25">
      <c r="B664" s="278"/>
      <c r="E664" s="274"/>
    </row>
    <row r="665" spans="2:5" x14ac:dyDescent="0.25">
      <c r="B665" s="278"/>
      <c r="E665" s="274"/>
    </row>
    <row r="666" spans="2:5" x14ac:dyDescent="0.25">
      <c r="B666" s="278"/>
      <c r="E666" s="274"/>
    </row>
    <row r="667" spans="2:5" x14ac:dyDescent="0.25">
      <c r="B667" s="278"/>
      <c r="E667" s="274"/>
    </row>
    <row r="668" spans="2:5" x14ac:dyDescent="0.25">
      <c r="B668" s="278"/>
      <c r="E668" s="274"/>
    </row>
    <row r="669" spans="2:5" x14ac:dyDescent="0.25">
      <c r="B669" s="278"/>
      <c r="E669" s="274"/>
    </row>
    <row r="670" spans="2:5" x14ac:dyDescent="0.25">
      <c r="B670" s="278"/>
      <c r="E670" s="274"/>
    </row>
    <row r="671" spans="2:5" x14ac:dyDescent="0.25">
      <c r="B671" s="278"/>
      <c r="E671" s="274"/>
    </row>
    <row r="672" spans="2:5" x14ac:dyDescent="0.25">
      <c r="B672" s="278"/>
      <c r="E672" s="274"/>
    </row>
    <row r="673" spans="2:5" x14ac:dyDescent="0.25">
      <c r="B673" s="278"/>
      <c r="E673" s="274"/>
    </row>
    <row r="674" spans="2:5" x14ac:dyDescent="0.25">
      <c r="B674" s="278"/>
      <c r="E674" s="274"/>
    </row>
    <row r="675" spans="2:5" x14ac:dyDescent="0.25">
      <c r="B675" s="278"/>
      <c r="E675" s="274"/>
    </row>
    <row r="676" spans="2:5" x14ac:dyDescent="0.25">
      <c r="B676" s="278"/>
      <c r="E676" s="274"/>
    </row>
    <row r="677" spans="2:5" x14ac:dyDescent="0.25">
      <c r="B677" s="278"/>
      <c r="E677" s="274"/>
    </row>
    <row r="678" spans="2:5" x14ac:dyDescent="0.25">
      <c r="B678" s="278"/>
      <c r="E678" s="274"/>
    </row>
    <row r="679" spans="2:5" x14ac:dyDescent="0.25">
      <c r="B679" s="278"/>
      <c r="E679" s="274"/>
    </row>
    <row r="680" spans="2:5" x14ac:dyDescent="0.25">
      <c r="B680" s="278"/>
      <c r="E680" s="274"/>
    </row>
    <row r="681" spans="2:5" x14ac:dyDescent="0.25">
      <c r="B681" s="278"/>
      <c r="E681" s="274"/>
    </row>
    <row r="682" spans="2:5" x14ac:dyDescent="0.25">
      <c r="B682" s="278"/>
      <c r="E682" s="274"/>
    </row>
    <row r="683" spans="2:5" x14ac:dyDescent="0.25">
      <c r="B683" s="278"/>
      <c r="E683" s="274"/>
    </row>
    <row r="684" spans="2:5" x14ac:dyDescent="0.25">
      <c r="B684" s="278"/>
      <c r="E684" s="274"/>
    </row>
    <row r="685" spans="2:5" x14ac:dyDescent="0.25">
      <c r="B685" s="278"/>
      <c r="E685" s="274"/>
    </row>
    <row r="686" spans="2:5" x14ac:dyDescent="0.25">
      <c r="B686" s="278"/>
      <c r="E686" s="274"/>
    </row>
    <row r="687" spans="2:5" x14ac:dyDescent="0.25">
      <c r="B687" s="278"/>
      <c r="E687" s="274"/>
    </row>
    <row r="688" spans="2:5" x14ac:dyDescent="0.25">
      <c r="B688" s="278"/>
      <c r="E688" s="274"/>
    </row>
    <row r="689" spans="2:7" x14ac:dyDescent="0.25">
      <c r="B689" s="278"/>
      <c r="E689" s="274"/>
    </row>
    <row r="690" spans="2:7" x14ac:dyDescent="0.25">
      <c r="B690" s="278"/>
      <c r="E690" s="274"/>
    </row>
    <row r="691" spans="2:7" x14ac:dyDescent="0.25">
      <c r="B691" s="278"/>
      <c r="E691" s="274"/>
    </row>
    <row r="692" spans="2:7" ht="15" customHeight="1" x14ac:dyDescent="0.25">
      <c r="B692" s="278"/>
      <c r="E692" s="274"/>
    </row>
    <row r="693" spans="2:7" x14ac:dyDescent="0.25">
      <c r="B693" s="278"/>
    </row>
    <row r="694" spans="2:7" x14ac:dyDescent="0.25">
      <c r="C694" s="3"/>
    </row>
    <row r="697" spans="2:7" x14ac:dyDescent="0.25">
      <c r="B697" s="278"/>
    </row>
    <row r="699" spans="2:7" x14ac:dyDescent="0.25">
      <c r="B699" s="278">
        <v>136059</v>
      </c>
      <c r="C699" s="2" t="s">
        <v>345</v>
      </c>
    </row>
    <row r="700" spans="2:7" x14ac:dyDescent="0.25">
      <c r="B700" s="278">
        <v>135946</v>
      </c>
      <c r="C700" s="2" t="s">
        <v>346</v>
      </c>
      <c r="G700" s="2">
        <v>705696</v>
      </c>
    </row>
    <row r="701" spans="2:7" x14ac:dyDescent="0.25">
      <c r="B701" s="278">
        <v>135979</v>
      </c>
      <c r="C701" s="2" t="s">
        <v>347</v>
      </c>
      <c r="G701" s="2">
        <v>599024</v>
      </c>
    </row>
    <row r="702" spans="2:7" x14ac:dyDescent="0.25">
      <c r="B702" s="278">
        <v>135955</v>
      </c>
      <c r="C702" s="2" t="s">
        <v>348</v>
      </c>
      <c r="G702" s="2">
        <v>339264</v>
      </c>
    </row>
    <row r="703" spans="2:7" x14ac:dyDescent="0.25">
      <c r="B703" s="278" t="s">
        <v>349</v>
      </c>
      <c r="C703" s="2" t="s">
        <v>350</v>
      </c>
      <c r="G703" s="2">
        <v>18350</v>
      </c>
    </row>
    <row r="704" spans="2:7" x14ac:dyDescent="0.25">
      <c r="B704" s="278">
        <v>136575</v>
      </c>
      <c r="C704" s="2" t="s">
        <v>351</v>
      </c>
      <c r="G704" s="2">
        <v>26051</v>
      </c>
    </row>
    <row r="705" spans="2:7" x14ac:dyDescent="0.25">
      <c r="B705" s="278">
        <v>136082</v>
      </c>
      <c r="C705" s="2" t="s">
        <v>352</v>
      </c>
      <c r="G705" s="2">
        <v>24600</v>
      </c>
    </row>
    <row r="706" spans="2:7" x14ac:dyDescent="0.25">
      <c r="B706" s="278">
        <v>135945</v>
      </c>
      <c r="C706" s="2" t="s">
        <v>353</v>
      </c>
      <c r="G706" s="2">
        <v>6250</v>
      </c>
    </row>
    <row r="707" spans="2:7" x14ac:dyDescent="0.25">
      <c r="B707" s="278">
        <v>135971</v>
      </c>
      <c r="C707" s="2" t="s">
        <v>354</v>
      </c>
      <c r="G707" s="2">
        <v>53616</v>
      </c>
    </row>
    <row r="708" spans="2:7" x14ac:dyDescent="0.25">
      <c r="B708" s="278">
        <v>137615</v>
      </c>
      <c r="C708" s="2" t="s">
        <v>355</v>
      </c>
      <c r="G708" s="2">
        <v>29900</v>
      </c>
    </row>
    <row r="709" spans="2:7" x14ac:dyDescent="0.25">
      <c r="B709" s="278">
        <v>135962</v>
      </c>
      <c r="C709" s="2" t="s">
        <v>356</v>
      </c>
      <c r="G709" s="2">
        <v>33200</v>
      </c>
    </row>
    <row r="710" spans="2:7" x14ac:dyDescent="0.25">
      <c r="B710" s="278">
        <v>136744</v>
      </c>
      <c r="C710" s="2" t="s">
        <v>357</v>
      </c>
      <c r="G710" s="2">
        <v>36189</v>
      </c>
    </row>
    <row r="711" spans="2:7" x14ac:dyDescent="0.25">
      <c r="B711" s="278">
        <v>136065</v>
      </c>
      <c r="C711" s="2" t="s">
        <v>358</v>
      </c>
      <c r="G711" s="2">
        <v>31000</v>
      </c>
    </row>
    <row r="712" spans="2:7" x14ac:dyDescent="0.25">
      <c r="B712" s="278">
        <v>135951</v>
      </c>
      <c r="C712" s="2" t="s">
        <v>359</v>
      </c>
      <c r="G712" s="2">
        <v>36491</v>
      </c>
    </row>
    <row r="713" spans="2:7" x14ac:dyDescent="0.25">
      <c r="B713" s="278">
        <v>136077</v>
      </c>
      <c r="C713" s="2" t="s">
        <v>360</v>
      </c>
      <c r="G713" s="2">
        <v>38832</v>
      </c>
    </row>
    <row r="714" spans="2:7" x14ac:dyDescent="0.25">
      <c r="B714" s="278">
        <v>136090</v>
      </c>
      <c r="C714" s="2" t="s">
        <v>361</v>
      </c>
      <c r="G714" s="2">
        <v>37600</v>
      </c>
    </row>
    <row r="715" spans="2:7" x14ac:dyDescent="0.25">
      <c r="B715" s="278">
        <v>135990</v>
      </c>
      <c r="C715" s="2" t="s">
        <v>362</v>
      </c>
      <c r="G715" s="2">
        <v>229332</v>
      </c>
    </row>
    <row r="716" spans="2:7" x14ac:dyDescent="0.25">
      <c r="B716" s="278">
        <v>1000226</v>
      </c>
      <c r="C716" s="2" t="s">
        <v>363</v>
      </c>
      <c r="G716" s="2">
        <v>223940</v>
      </c>
    </row>
    <row r="717" spans="2:7" x14ac:dyDescent="0.25">
      <c r="B717" s="278">
        <v>135993</v>
      </c>
      <c r="C717" s="2" t="s">
        <v>364</v>
      </c>
      <c r="G717" s="2">
        <v>218600</v>
      </c>
    </row>
    <row r="718" spans="2:7" x14ac:dyDescent="0.25">
      <c r="B718" s="278">
        <v>135954</v>
      </c>
      <c r="C718" s="2" t="s">
        <v>365</v>
      </c>
      <c r="G718" s="2">
        <v>207352</v>
      </c>
    </row>
    <row r="719" spans="2:7" x14ac:dyDescent="0.25">
      <c r="B719" s="278">
        <v>135981</v>
      </c>
      <c r="C719" s="2" t="s">
        <v>366</v>
      </c>
      <c r="G719" s="2">
        <v>197166</v>
      </c>
    </row>
    <row r="720" spans="2:7" x14ac:dyDescent="0.25">
      <c r="B720" s="278">
        <v>135953</v>
      </c>
      <c r="C720" s="2" t="s">
        <v>367</v>
      </c>
      <c r="G720" s="2">
        <v>171745</v>
      </c>
    </row>
    <row r="721" spans="2:7" x14ac:dyDescent="0.25">
      <c r="B721" s="278">
        <v>136092</v>
      </c>
      <c r="C721" s="2" t="s">
        <v>368</v>
      </c>
      <c r="G721" s="2">
        <v>166194</v>
      </c>
    </row>
    <row r="722" spans="2:7" x14ac:dyDescent="0.25">
      <c r="B722" s="278">
        <v>137613</v>
      </c>
      <c r="C722" s="2" t="s">
        <v>369</v>
      </c>
      <c r="G722" s="2">
        <v>130205</v>
      </c>
    </row>
    <row r="723" spans="2:7" x14ac:dyDescent="0.25">
      <c r="B723" s="278">
        <v>136083</v>
      </c>
      <c r="C723" s="2" t="s">
        <v>370</v>
      </c>
      <c r="G723" s="2">
        <v>121935</v>
      </c>
    </row>
    <row r="724" spans="2:7" x14ac:dyDescent="0.25">
      <c r="B724" s="278">
        <v>135709</v>
      </c>
      <c r="C724" s="2" t="s">
        <v>371</v>
      </c>
      <c r="G724" s="2">
        <v>104675</v>
      </c>
    </row>
    <row r="725" spans="2:7" x14ac:dyDescent="0.25">
      <c r="B725" s="278">
        <v>135961</v>
      </c>
      <c r="C725" s="2" t="s">
        <v>372</v>
      </c>
      <c r="G725" s="2">
        <v>104176</v>
      </c>
    </row>
    <row r="726" spans="2:7" x14ac:dyDescent="0.25">
      <c r="B726" s="278">
        <v>135957</v>
      </c>
      <c r="C726" s="2" t="s">
        <v>373</v>
      </c>
      <c r="G726" s="2">
        <v>101378</v>
      </c>
    </row>
    <row r="727" spans="2:7" x14ac:dyDescent="0.25">
      <c r="B727" s="278">
        <v>135710</v>
      </c>
      <c r="C727" s="2" t="s">
        <v>374</v>
      </c>
      <c r="G727" s="2">
        <v>82568</v>
      </c>
    </row>
    <row r="728" spans="2:7" x14ac:dyDescent="0.25">
      <c r="B728" s="278">
        <v>135986</v>
      </c>
      <c r="C728" s="2" t="s">
        <v>375</v>
      </c>
      <c r="G728" s="2">
        <v>82040</v>
      </c>
    </row>
    <row r="729" spans="2:7" x14ac:dyDescent="0.25">
      <c r="B729" s="278">
        <v>135958</v>
      </c>
      <c r="C729" s="2" t="s">
        <v>376</v>
      </c>
      <c r="G729" s="2">
        <v>71637</v>
      </c>
    </row>
    <row r="730" spans="2:7" x14ac:dyDescent="0.25">
      <c r="B730" s="278">
        <v>136731</v>
      </c>
      <c r="C730" s="2" t="s">
        <v>377</v>
      </c>
      <c r="G730" s="2">
        <v>70474</v>
      </c>
    </row>
    <row r="731" spans="2:7" x14ac:dyDescent="0.25">
      <c r="B731" s="278">
        <v>136080</v>
      </c>
      <c r="C731" s="2" t="s">
        <v>378</v>
      </c>
      <c r="G731" s="2">
        <v>61952</v>
      </c>
    </row>
    <row r="732" spans="2:7" x14ac:dyDescent="0.25">
      <c r="B732" s="278">
        <v>135982</v>
      </c>
      <c r="C732" s="2" t="s">
        <v>379</v>
      </c>
      <c r="G732" s="2">
        <v>61844</v>
      </c>
    </row>
    <row r="733" spans="2:7" x14ac:dyDescent="0.25">
      <c r="B733" s="278">
        <v>17</v>
      </c>
      <c r="C733" s="2" t="s">
        <v>380</v>
      </c>
      <c r="G733" s="2">
        <v>59930</v>
      </c>
    </row>
    <row r="734" spans="2:7" x14ac:dyDescent="0.25">
      <c r="B734" s="278">
        <v>135991</v>
      </c>
      <c r="C734" s="2" t="s">
        <v>381</v>
      </c>
      <c r="G734" s="2">
        <v>59227</v>
      </c>
    </row>
    <row r="735" spans="2:7" x14ac:dyDescent="0.25">
      <c r="B735" s="278">
        <v>136740</v>
      </c>
      <c r="C735" s="2" t="s">
        <v>382</v>
      </c>
      <c r="G735" s="2">
        <v>47597</v>
      </c>
    </row>
    <row r="736" spans="2:7" x14ac:dyDescent="0.25">
      <c r="B736" s="278">
        <v>135992</v>
      </c>
      <c r="C736" s="2" t="s">
        <v>383</v>
      </c>
      <c r="G736" s="2">
        <v>47517</v>
      </c>
    </row>
    <row r="737" spans="2:7" x14ac:dyDescent="0.25">
      <c r="B737" s="278">
        <v>135966</v>
      </c>
      <c r="C737" s="2" t="s">
        <v>384</v>
      </c>
      <c r="G737" s="2">
        <v>46137</v>
      </c>
    </row>
    <row r="738" spans="2:7" x14ac:dyDescent="0.25">
      <c r="B738" s="278">
        <v>136085</v>
      </c>
      <c r="C738" s="2" t="s">
        <v>385</v>
      </c>
      <c r="G738" s="2">
        <v>42950</v>
      </c>
    </row>
    <row r="739" spans="2:7" x14ac:dyDescent="0.25">
      <c r="B739" s="278">
        <v>136094</v>
      </c>
      <c r="C739" s="2" t="s">
        <v>386</v>
      </c>
      <c r="G739" s="2">
        <v>42836</v>
      </c>
    </row>
    <row r="740" spans="2:7" x14ac:dyDescent="0.25">
      <c r="B740" s="278">
        <v>135985</v>
      </c>
      <c r="C740" s="2" t="s">
        <v>387</v>
      </c>
      <c r="G740" s="2">
        <v>40966</v>
      </c>
    </row>
    <row r="741" spans="2:7" x14ac:dyDescent="0.25">
      <c r="B741" s="278">
        <v>136095</v>
      </c>
      <c r="C741" s="2" t="s">
        <v>388</v>
      </c>
      <c r="G741" s="2">
        <v>40394</v>
      </c>
    </row>
    <row r="742" spans="2:7" x14ac:dyDescent="0.25">
      <c r="B742" s="278">
        <v>136081</v>
      </c>
      <c r="C742" s="2" t="s">
        <v>389</v>
      </c>
      <c r="G742" s="2">
        <v>40350</v>
      </c>
    </row>
    <row r="743" spans="2:7" x14ac:dyDescent="0.25">
      <c r="B743" s="278">
        <v>135963</v>
      </c>
      <c r="C743" s="2" t="s">
        <v>390</v>
      </c>
      <c r="G743" s="2">
        <v>40130</v>
      </c>
    </row>
    <row r="744" spans="2:7" x14ac:dyDescent="0.25">
      <c r="B744" s="278">
        <v>135964</v>
      </c>
      <c r="C744" s="2" t="s">
        <v>391</v>
      </c>
      <c r="G744" s="2">
        <v>36739</v>
      </c>
    </row>
    <row r="745" spans="2:7" x14ac:dyDescent="0.25">
      <c r="B745" s="278">
        <v>135965</v>
      </c>
      <c r="C745" s="2" t="s">
        <v>392</v>
      </c>
      <c r="G745" s="2">
        <v>36739</v>
      </c>
    </row>
    <row r="746" spans="2:7" x14ac:dyDescent="0.25">
      <c r="B746" s="278">
        <v>138150</v>
      </c>
      <c r="C746" s="2" t="s">
        <v>393</v>
      </c>
      <c r="G746" s="2">
        <v>36717</v>
      </c>
    </row>
    <row r="747" spans="2:7" x14ac:dyDescent="0.25">
      <c r="B747" s="278">
        <v>135959</v>
      </c>
      <c r="C747" s="2" t="s">
        <v>394</v>
      </c>
      <c r="G747" s="2">
        <v>36588</v>
      </c>
    </row>
    <row r="748" spans="2:7" x14ac:dyDescent="0.25">
      <c r="B748" s="278">
        <v>135950</v>
      </c>
      <c r="C748" s="2" t="s">
        <v>395</v>
      </c>
      <c r="G748" s="2">
        <v>36060</v>
      </c>
    </row>
    <row r="749" spans="2:7" x14ac:dyDescent="0.25">
      <c r="B749" s="278">
        <v>135960</v>
      </c>
      <c r="C749" s="2" t="s">
        <v>396</v>
      </c>
      <c r="G749" s="2">
        <v>35706</v>
      </c>
    </row>
    <row r="750" spans="2:7" x14ac:dyDescent="0.25">
      <c r="B750" s="278">
        <v>136084</v>
      </c>
      <c r="C750" s="2" t="s">
        <v>397</v>
      </c>
      <c r="G750" s="2">
        <v>34715</v>
      </c>
    </row>
    <row r="751" spans="2:7" x14ac:dyDescent="0.25">
      <c r="B751" s="278">
        <v>136086</v>
      </c>
      <c r="C751" s="2" t="s">
        <v>398</v>
      </c>
      <c r="G751" s="2">
        <v>33596</v>
      </c>
    </row>
    <row r="752" spans="2:7" x14ac:dyDescent="0.25">
      <c r="B752" s="278">
        <v>135972</v>
      </c>
      <c r="C752" s="2" t="s">
        <v>399</v>
      </c>
      <c r="G752" s="2">
        <v>31000</v>
      </c>
    </row>
    <row r="753" spans="2:7" x14ac:dyDescent="0.25">
      <c r="B753" s="278">
        <v>136097</v>
      </c>
      <c r="C753" s="2" t="s">
        <v>400</v>
      </c>
      <c r="G753" s="2">
        <v>30450</v>
      </c>
    </row>
    <row r="754" spans="2:7" x14ac:dyDescent="0.25">
      <c r="B754" s="278">
        <v>135756</v>
      </c>
      <c r="C754" s="2" t="s">
        <v>401</v>
      </c>
      <c r="G754" s="2">
        <v>28406</v>
      </c>
    </row>
    <row r="755" spans="2:7" x14ac:dyDescent="0.25">
      <c r="B755" s="278">
        <v>135967</v>
      </c>
      <c r="C755" s="2" t="s">
        <v>402</v>
      </c>
      <c r="G755" s="2">
        <v>27700</v>
      </c>
    </row>
    <row r="756" spans="2:7" x14ac:dyDescent="0.25">
      <c r="B756" s="278">
        <v>135968</v>
      </c>
      <c r="C756" s="2" t="s">
        <v>403</v>
      </c>
      <c r="G756" s="2">
        <v>27700</v>
      </c>
    </row>
    <row r="757" spans="2:7" x14ac:dyDescent="0.25">
      <c r="B757" s="278">
        <v>135969</v>
      </c>
      <c r="C757" s="2" t="s">
        <v>404</v>
      </c>
      <c r="G757" s="2">
        <v>27700</v>
      </c>
    </row>
    <row r="758" spans="2:7" x14ac:dyDescent="0.25">
      <c r="B758" s="278">
        <v>135994</v>
      </c>
      <c r="C758" s="2" t="s">
        <v>405</v>
      </c>
      <c r="G758" s="2">
        <v>27700</v>
      </c>
    </row>
    <row r="759" spans="2:7" x14ac:dyDescent="0.25">
      <c r="B759" s="278">
        <v>136087</v>
      </c>
      <c r="C759" s="2" t="s">
        <v>406</v>
      </c>
      <c r="G759" s="2">
        <v>27700</v>
      </c>
    </row>
    <row r="760" spans="2:7" x14ac:dyDescent="0.25">
      <c r="B760" s="278">
        <v>136724</v>
      </c>
      <c r="C760" s="2" t="s">
        <v>407</v>
      </c>
      <c r="G760" s="2">
        <v>27612</v>
      </c>
    </row>
    <row r="761" spans="2:7" x14ac:dyDescent="0.25">
      <c r="B761" s="278">
        <v>136079</v>
      </c>
      <c r="C761" s="2" t="s">
        <v>408</v>
      </c>
      <c r="G761" s="2">
        <v>27425</v>
      </c>
    </row>
    <row r="762" spans="2:7" x14ac:dyDescent="0.25">
      <c r="B762" s="278">
        <v>135984</v>
      </c>
      <c r="C762" s="2" t="s">
        <v>409</v>
      </c>
      <c r="G762" s="2">
        <v>24950</v>
      </c>
    </row>
    <row r="763" spans="2:7" x14ac:dyDescent="0.25">
      <c r="B763" s="278">
        <v>135956</v>
      </c>
      <c r="C763" s="2" t="s">
        <v>410</v>
      </c>
      <c r="G763" s="2">
        <v>19538</v>
      </c>
    </row>
    <row r="764" spans="2:7" x14ac:dyDescent="0.25">
      <c r="B764" s="278">
        <v>137195</v>
      </c>
      <c r="C764" s="2" t="s">
        <v>411</v>
      </c>
      <c r="G764" s="2">
        <v>11635</v>
      </c>
    </row>
    <row r="765" spans="2:7" x14ac:dyDescent="0.25">
      <c r="B765" s="278">
        <v>135987</v>
      </c>
      <c r="C765" s="2" t="s">
        <v>412</v>
      </c>
      <c r="G765" s="2">
        <v>4805</v>
      </c>
    </row>
    <row r="766" spans="2:7" x14ac:dyDescent="0.25">
      <c r="B766" s="278">
        <v>136726</v>
      </c>
      <c r="C766" s="2" t="s">
        <v>413</v>
      </c>
      <c r="G766" s="2">
        <v>3250</v>
      </c>
    </row>
    <row r="767" spans="2:7" x14ac:dyDescent="0.25">
      <c r="B767" s="278">
        <v>135980</v>
      </c>
      <c r="C767" s="2" t="s">
        <v>414</v>
      </c>
      <c r="G767" s="2">
        <v>2620</v>
      </c>
    </row>
    <row r="768" spans="2:7" x14ac:dyDescent="0.25">
      <c r="B768" s="278">
        <v>136091</v>
      </c>
      <c r="C768" s="2" t="s">
        <v>415</v>
      </c>
      <c r="G768" s="2">
        <v>2400</v>
      </c>
    </row>
    <row r="769" spans="2:7" x14ac:dyDescent="0.25">
      <c r="B769" s="278">
        <v>136089</v>
      </c>
      <c r="C769" s="2" t="s">
        <v>416</v>
      </c>
      <c r="G769" s="2">
        <v>1834</v>
      </c>
    </row>
    <row r="770" spans="2:7" x14ac:dyDescent="0.25">
      <c r="B770" s="278">
        <v>136093</v>
      </c>
      <c r="C770" s="2" t="s">
        <v>417</v>
      </c>
      <c r="G770" s="2">
        <v>1210</v>
      </c>
    </row>
    <row r="771" spans="2:7" x14ac:dyDescent="0.25">
      <c r="B771" s="278">
        <v>135989</v>
      </c>
      <c r="C771" s="2" t="s">
        <v>418</v>
      </c>
      <c r="G771" s="2">
        <v>1100</v>
      </c>
    </row>
    <row r="772" spans="2:7" x14ac:dyDescent="0.25">
      <c r="G772" s="2">
        <v>550</v>
      </c>
    </row>
  </sheetData>
  <mergeCells count="140">
    <mergeCell ref="B635:E635"/>
    <mergeCell ref="B636:E636"/>
    <mergeCell ref="B612:E612"/>
    <mergeCell ref="B619:C619"/>
    <mergeCell ref="B623:E623"/>
    <mergeCell ref="B624:E624"/>
    <mergeCell ref="B625:E625"/>
    <mergeCell ref="B631:C631"/>
    <mergeCell ref="B559:E559"/>
    <mergeCell ref="B571:C571"/>
    <mergeCell ref="B576:E576"/>
    <mergeCell ref="B584:C584"/>
    <mergeCell ref="B592:E592"/>
    <mergeCell ref="B606:C606"/>
    <mergeCell ref="B491:E491"/>
    <mergeCell ref="B517:E517"/>
    <mergeCell ref="B518:E518"/>
    <mergeCell ref="B532:C532"/>
    <mergeCell ref="B547:E547"/>
    <mergeCell ref="B554:C554"/>
    <mergeCell ref="B473:C473"/>
    <mergeCell ref="B478:E478"/>
    <mergeCell ref="B479:E479"/>
    <mergeCell ref="C481:D481"/>
    <mergeCell ref="B488:C488"/>
    <mergeCell ref="B490:E490"/>
    <mergeCell ref="B445:E445"/>
    <mergeCell ref="B454:C454"/>
    <mergeCell ref="B455:E455"/>
    <mergeCell ref="B464:E464"/>
    <mergeCell ref="B465:E465"/>
    <mergeCell ref="C467:D467"/>
    <mergeCell ref="B414:E414"/>
    <mergeCell ref="B421:C421"/>
    <mergeCell ref="B424:E424"/>
    <mergeCell ref="B425:E425"/>
    <mergeCell ref="B438:C438"/>
    <mergeCell ref="B444:E444"/>
    <mergeCell ref="B386:E386"/>
    <mergeCell ref="B389:E389"/>
    <mergeCell ref="B390:E390"/>
    <mergeCell ref="B396:C396"/>
    <mergeCell ref="B412:E412"/>
    <mergeCell ref="B413:E413"/>
    <mergeCell ref="B367:E367"/>
    <mergeCell ref="B374:E374"/>
    <mergeCell ref="B375:E375"/>
    <mergeCell ref="B376:E376"/>
    <mergeCell ref="B377:E377"/>
    <mergeCell ref="B385:C385"/>
    <mergeCell ref="B236:E236"/>
    <mergeCell ref="B237:E237"/>
    <mergeCell ref="B316:C316"/>
    <mergeCell ref="B357:E357"/>
    <mergeCell ref="B358:E358"/>
    <mergeCell ref="B365:C365"/>
    <mergeCell ref="B189:C189"/>
    <mergeCell ref="B194:E194"/>
    <mergeCell ref="B195:E195"/>
    <mergeCell ref="B214:C214"/>
    <mergeCell ref="B234:E234"/>
    <mergeCell ref="B235:E235"/>
    <mergeCell ref="B162:E162"/>
    <mergeCell ref="B163:E163"/>
    <mergeCell ref="B170:C170"/>
    <mergeCell ref="B172:E172"/>
    <mergeCell ref="B178:E178"/>
    <mergeCell ref="B179:E179"/>
    <mergeCell ref="B148:E148"/>
    <mergeCell ref="B149:E149"/>
    <mergeCell ref="B156:C156"/>
    <mergeCell ref="B158:E158"/>
    <mergeCell ref="B160:E160"/>
    <mergeCell ref="B161:E161"/>
    <mergeCell ref="B128:C128"/>
    <mergeCell ref="B135:E135"/>
    <mergeCell ref="B136:E136"/>
    <mergeCell ref="B137:E137"/>
    <mergeCell ref="B144:C144"/>
    <mergeCell ref="B147:E147"/>
    <mergeCell ref="B110:E110"/>
    <mergeCell ref="B111:E111"/>
    <mergeCell ref="B112:E112"/>
    <mergeCell ref="B113:E113"/>
    <mergeCell ref="B114:E114"/>
    <mergeCell ref="B115:E115"/>
    <mergeCell ref="B101:E101"/>
    <mergeCell ref="B104:E104"/>
    <mergeCell ref="B105:E105"/>
    <mergeCell ref="B106:E106"/>
    <mergeCell ref="B107:E107"/>
    <mergeCell ref="B108:E108"/>
    <mergeCell ref="B93:E93"/>
    <mergeCell ref="B94:E94"/>
    <mergeCell ref="B95:E95"/>
    <mergeCell ref="B96:E96"/>
    <mergeCell ref="B97:E97"/>
    <mergeCell ref="B100:E100"/>
    <mergeCell ref="B87:E87"/>
    <mergeCell ref="B88:E88"/>
    <mergeCell ref="B89:E89"/>
    <mergeCell ref="B90:E90"/>
    <mergeCell ref="B91:E91"/>
    <mergeCell ref="B92:E92"/>
    <mergeCell ref="B81:E81"/>
    <mergeCell ref="B82:E82"/>
    <mergeCell ref="B83:E83"/>
    <mergeCell ref="B84:E84"/>
    <mergeCell ref="B85:E85"/>
    <mergeCell ref="B86:E86"/>
    <mergeCell ref="B72:E72"/>
    <mergeCell ref="B73:E73"/>
    <mergeCell ref="B74:E74"/>
    <mergeCell ref="B75:E75"/>
    <mergeCell ref="B77:E77"/>
    <mergeCell ref="B78:E78"/>
    <mergeCell ref="B66:E66"/>
    <mergeCell ref="B67:E67"/>
    <mergeCell ref="B68:E68"/>
    <mergeCell ref="B69:E69"/>
    <mergeCell ref="B70:E70"/>
    <mergeCell ref="B71:E71"/>
    <mergeCell ref="B59:E59"/>
    <mergeCell ref="B60:E60"/>
    <mergeCell ref="B61:E61"/>
    <mergeCell ref="B62:E62"/>
    <mergeCell ref="B63:E63"/>
    <mergeCell ref="B64:E64"/>
    <mergeCell ref="B46:E46"/>
    <mergeCell ref="B47:E47"/>
    <mergeCell ref="B48:E48"/>
    <mergeCell ref="B51:E51"/>
    <mergeCell ref="B52:E52"/>
    <mergeCell ref="B54:E54"/>
    <mergeCell ref="A4:E4"/>
    <mergeCell ref="B6:E6"/>
    <mergeCell ref="B10:E10"/>
    <mergeCell ref="B12:E12"/>
    <mergeCell ref="B14:E14"/>
    <mergeCell ref="B45:E45"/>
  </mergeCells>
  <conditionalFormatting sqref="D606:D608 D571 D532 D488 D454 D385 D365:D366 D316 D214:D215 D396:D410 D473 D170 D156 D438 D144:D145 D128:D133 D554:D556 D421:D422 D368:D372">
    <cfRule type="expression" priority="2" stopIfTrue="1">
      <formula>"$E$165&gt;=1,¨Aumento¨"</formula>
    </cfRule>
  </conditionalFormatting>
  <conditionalFormatting sqref="D584">
    <cfRule type="expression" priority="1" stopIfTrue="1">
      <formula>"$E$165&gt;=1,¨Aumento¨"</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Hoja1!_Toc208202813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MORILLO</dc:creator>
  <cp:lastModifiedBy>PAULA MORILLO</cp:lastModifiedBy>
  <dcterms:created xsi:type="dcterms:W3CDTF">2024-10-14T16:05:44Z</dcterms:created>
  <dcterms:modified xsi:type="dcterms:W3CDTF">2024-10-14T16:06:24Z</dcterms:modified>
</cp:coreProperties>
</file>