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bookViews>
  <sheets>
    <sheet name="Hoja1" sheetId="1" r:id="rId1"/>
    <sheet name="Hoja2" sheetId="2" r:id="rId2"/>
    <sheet name="Hoja3" sheetId="3" r:id="rId3"/>
  </sheets>
  <externalReferences>
    <externalReference r:id="rId4"/>
  </externalReferences>
  <definedNames>
    <definedName name="_Toc208202813" localSheetId="0">Hoja1!$B$112</definedName>
  </definedNames>
  <calcPr calcId="145621"/>
</workbook>
</file>

<file path=xl/calcChain.xml><?xml version="1.0" encoding="utf-8"?>
<calcChain xmlns="http://schemas.openxmlformats.org/spreadsheetml/2006/main">
  <c r="C661" i="1" l="1"/>
  <c r="D655" i="1"/>
  <c r="D661" i="1" s="1"/>
  <c r="D654" i="1"/>
  <c r="D651" i="1"/>
  <c r="C651" i="1"/>
  <c r="C654" i="1" s="1"/>
  <c r="C662" i="1" s="1"/>
  <c r="C636" i="1" s="1"/>
  <c r="B646" i="1"/>
  <c r="E635" i="1"/>
  <c r="D635" i="1"/>
  <c r="C635" i="1"/>
  <c r="B634" i="1"/>
  <c r="B647" i="1" s="1"/>
  <c r="B631" i="1"/>
  <c r="D624" i="1"/>
  <c r="D625" i="1" s="1"/>
  <c r="C624" i="1"/>
  <c r="E624" i="1" s="1"/>
  <c r="D623" i="1"/>
  <c r="C623" i="1"/>
  <c r="C625" i="1" s="1"/>
  <c r="C626" i="1" s="1"/>
  <c r="B622" i="1"/>
  <c r="B620" i="1"/>
  <c r="E611" i="1"/>
  <c r="D611" i="1"/>
  <c r="C611" i="1"/>
  <c r="D610" i="1"/>
  <c r="C610" i="1"/>
  <c r="E610" i="1" s="1"/>
  <c r="D609" i="1"/>
  <c r="C609" i="1"/>
  <c r="E609" i="1" s="1"/>
  <c r="G608" i="1"/>
  <c r="D608" i="1"/>
  <c r="C608" i="1"/>
  <c r="E608" i="1" s="1"/>
  <c r="E607" i="1"/>
  <c r="D607" i="1"/>
  <c r="C607" i="1"/>
  <c r="E606" i="1"/>
  <c r="D606" i="1"/>
  <c r="C606" i="1"/>
  <c r="D605" i="1"/>
  <c r="C605" i="1"/>
  <c r="E605" i="1" s="1"/>
  <c r="D604" i="1"/>
  <c r="C604" i="1"/>
  <c r="E604" i="1" s="1"/>
  <c r="E603" i="1"/>
  <c r="E612" i="1" s="1"/>
  <c r="E614" i="1" s="1"/>
  <c r="D614" i="1" s="1"/>
  <c r="D603" i="1"/>
  <c r="D612" i="1" s="1"/>
  <c r="C603" i="1"/>
  <c r="C612" i="1" s="1"/>
  <c r="C613" i="1" s="1"/>
  <c r="D602" i="1"/>
  <c r="D622" i="1" s="1"/>
  <c r="D634" i="1" s="1"/>
  <c r="D647" i="1" s="1"/>
  <c r="C602" i="1"/>
  <c r="C622" i="1" s="1"/>
  <c r="C634" i="1" s="1"/>
  <c r="B600" i="1"/>
  <c r="E589" i="1"/>
  <c r="E588" i="1"/>
  <c r="D588" i="1"/>
  <c r="C588" i="1"/>
  <c r="D587" i="1"/>
  <c r="D590" i="1" s="1"/>
  <c r="D591" i="1" s="1"/>
  <c r="C587" i="1"/>
  <c r="C590" i="1" s="1"/>
  <c r="C591" i="1" s="1"/>
  <c r="D586" i="1"/>
  <c r="C586" i="1"/>
  <c r="B584" i="1"/>
  <c r="E576" i="1"/>
  <c r="C576" i="1"/>
  <c r="D575" i="1"/>
  <c r="AA575" i="1" s="1"/>
  <c r="C575" i="1"/>
  <c r="E575" i="1" s="1"/>
  <c r="D574" i="1"/>
  <c r="AA574" i="1" s="1"/>
  <c r="C574" i="1"/>
  <c r="E574" i="1" s="1"/>
  <c r="D573" i="1"/>
  <c r="AA573" i="1" s="1"/>
  <c r="C573" i="1"/>
  <c r="E573" i="1" s="1"/>
  <c r="D572" i="1"/>
  <c r="AA572" i="1" s="1"/>
  <c r="C572" i="1"/>
  <c r="E572" i="1" s="1"/>
  <c r="D571" i="1"/>
  <c r="AA571" i="1" s="1"/>
  <c r="C571" i="1"/>
  <c r="E571" i="1" s="1"/>
  <c r="D570" i="1"/>
  <c r="D577" i="1" s="1"/>
  <c r="C570" i="1"/>
  <c r="C577" i="1" s="1"/>
  <c r="C578" i="1" s="1"/>
  <c r="D569" i="1"/>
  <c r="C569" i="1"/>
  <c r="B567" i="1"/>
  <c r="D562" i="1"/>
  <c r="D560" i="1"/>
  <c r="D558" i="1"/>
  <c r="C558" i="1"/>
  <c r="D557" i="1"/>
  <c r="C557" i="1"/>
  <c r="B555" i="1"/>
  <c r="D545" i="1"/>
  <c r="C544" i="1"/>
  <c r="E544" i="1" s="1"/>
  <c r="E543" i="1"/>
  <c r="C543" i="1"/>
  <c r="C542" i="1"/>
  <c r="E542" i="1" s="1"/>
  <c r="E541" i="1"/>
  <c r="C541" i="1"/>
  <c r="C540" i="1"/>
  <c r="E540" i="1" s="1"/>
  <c r="E539" i="1"/>
  <c r="C539" i="1"/>
  <c r="C538" i="1"/>
  <c r="E538" i="1" s="1"/>
  <c r="E537" i="1"/>
  <c r="C537" i="1"/>
  <c r="E536" i="1"/>
  <c r="C536" i="1"/>
  <c r="J535" i="1"/>
  <c r="C535" i="1"/>
  <c r="L534" i="1"/>
  <c r="K534" i="1"/>
  <c r="D534" i="1"/>
  <c r="C534" i="1"/>
  <c r="B534" i="1"/>
  <c r="L533" i="1"/>
  <c r="L532" i="1"/>
  <c r="L536" i="1" s="1"/>
  <c r="K532" i="1"/>
  <c r="B532" i="1"/>
  <c r="K531" i="1"/>
  <c r="K530" i="1"/>
  <c r="E522" i="1"/>
  <c r="D522" i="1"/>
  <c r="C522" i="1"/>
  <c r="E521" i="1"/>
  <c r="D521" i="1"/>
  <c r="C521" i="1"/>
  <c r="E520" i="1"/>
  <c r="D520" i="1"/>
  <c r="C520" i="1"/>
  <c r="E519" i="1"/>
  <c r="D519" i="1"/>
  <c r="C519" i="1"/>
  <c r="E518" i="1"/>
  <c r="D518" i="1"/>
  <c r="C518" i="1"/>
  <c r="E517" i="1"/>
  <c r="D517" i="1"/>
  <c r="C517" i="1"/>
  <c r="E516" i="1"/>
  <c r="D516" i="1"/>
  <c r="C516" i="1"/>
  <c r="E515" i="1"/>
  <c r="D515" i="1"/>
  <c r="C515" i="1"/>
  <c r="E514" i="1"/>
  <c r="D514" i="1"/>
  <c r="C514" i="1"/>
  <c r="E513" i="1"/>
  <c r="D513" i="1"/>
  <c r="C513" i="1"/>
  <c r="E512" i="1"/>
  <c r="D512" i="1"/>
  <c r="C512" i="1"/>
  <c r="E511" i="1"/>
  <c r="E523" i="1" s="1"/>
  <c r="D511" i="1"/>
  <c r="D523" i="1" s="1"/>
  <c r="C526" i="1" s="1"/>
  <c r="C511" i="1"/>
  <c r="C523" i="1" s="1"/>
  <c r="C525" i="1" s="1"/>
  <c r="S505" i="1"/>
  <c r="V504" i="1"/>
  <c r="U504" i="1"/>
  <c r="R504" i="1" s="1"/>
  <c r="T504" i="1"/>
  <c r="S504" i="1"/>
  <c r="W504" i="1" s="1"/>
  <c r="S503" i="1"/>
  <c r="U502" i="1"/>
  <c r="T502" i="1"/>
  <c r="S502" i="1"/>
  <c r="V502" i="1" s="1"/>
  <c r="V501" i="1"/>
  <c r="U501" i="1"/>
  <c r="T501" i="1"/>
  <c r="S501" i="1"/>
  <c r="R501" i="1"/>
  <c r="B501" i="1"/>
  <c r="V500" i="1"/>
  <c r="U500" i="1"/>
  <c r="T500" i="1"/>
  <c r="S500" i="1"/>
  <c r="U499" i="1"/>
  <c r="N498" i="1"/>
  <c r="E496" i="1"/>
  <c r="V495" i="1"/>
  <c r="N495" i="1"/>
  <c r="C495" i="1"/>
  <c r="S495" i="1" s="1"/>
  <c r="V494" i="1"/>
  <c r="U494" i="1"/>
  <c r="S494" i="1"/>
  <c r="R494" i="1"/>
  <c r="E494" i="1"/>
  <c r="C494" i="1"/>
  <c r="T494" i="1" s="1"/>
  <c r="V493" i="1"/>
  <c r="U493" i="1"/>
  <c r="T493" i="1"/>
  <c r="E493" i="1"/>
  <c r="D493" i="1"/>
  <c r="V499" i="1" s="1"/>
  <c r="C493" i="1"/>
  <c r="C497" i="1" s="1"/>
  <c r="W492" i="1"/>
  <c r="V492" i="1"/>
  <c r="U492" i="1"/>
  <c r="T492" i="1"/>
  <c r="S492" i="1"/>
  <c r="R492" i="1"/>
  <c r="D492" i="1"/>
  <c r="C492" i="1"/>
  <c r="B491" i="1"/>
  <c r="B489" i="1"/>
  <c r="B487" i="1"/>
  <c r="E479" i="1"/>
  <c r="D479" i="1"/>
  <c r="D478" i="1"/>
  <c r="D480" i="1" s="1"/>
  <c r="T481" i="1" s="1"/>
  <c r="C478" i="1"/>
  <c r="B473" i="1"/>
  <c r="AA463" i="1"/>
  <c r="X463" i="1"/>
  <c r="AA462" i="1"/>
  <c r="D461" i="1"/>
  <c r="C459" i="1" s="1"/>
  <c r="E459" i="1" s="1"/>
  <c r="C461" i="1"/>
  <c r="C460" i="1"/>
  <c r="E460" i="1" s="1"/>
  <c r="D458" i="1"/>
  <c r="D462" i="1" s="1"/>
  <c r="C458" i="1"/>
  <c r="D457" i="1"/>
  <c r="C457" i="1"/>
  <c r="B454" i="1"/>
  <c r="D448" i="1"/>
  <c r="AA447" i="1"/>
  <c r="Y447" i="1"/>
  <c r="X447" i="1"/>
  <c r="W447" i="1"/>
  <c r="AA446" i="1"/>
  <c r="E445" i="1"/>
  <c r="D445" i="1"/>
  <c r="C445" i="1"/>
  <c r="D444" i="1"/>
  <c r="E444" i="1" s="1"/>
  <c r="C444" i="1"/>
  <c r="D443" i="1"/>
  <c r="C443" i="1"/>
  <c r="E443" i="1" s="1"/>
  <c r="D442" i="1"/>
  <c r="C442" i="1"/>
  <c r="E442" i="1" s="1"/>
  <c r="E441" i="1"/>
  <c r="D441" i="1"/>
  <c r="C441" i="1"/>
  <c r="E440" i="1"/>
  <c r="D440" i="1"/>
  <c r="C440" i="1"/>
  <c r="D439" i="1"/>
  <c r="D446" i="1" s="1"/>
  <c r="C439" i="1"/>
  <c r="C446" i="1" s="1"/>
  <c r="B434" i="1"/>
  <c r="B431" i="1"/>
  <c r="C429" i="1"/>
  <c r="V429" i="1" s="1"/>
  <c r="D427" i="1"/>
  <c r="E427" i="1" s="1"/>
  <c r="C427" i="1"/>
  <c r="E426" i="1"/>
  <c r="D426" i="1"/>
  <c r="C426" i="1"/>
  <c r="B422" i="1"/>
  <c r="D405" i="1"/>
  <c r="D404" i="1"/>
  <c r="C404" i="1"/>
  <c r="C405" i="1" s="1"/>
  <c r="B396" i="1"/>
  <c r="K393" i="1"/>
  <c r="E393" i="1"/>
  <c r="D393" i="1"/>
  <c r="C393" i="1"/>
  <c r="C392" i="1"/>
  <c r="D391" i="1"/>
  <c r="D394" i="1" s="1"/>
  <c r="K390" i="1"/>
  <c r="D390" i="1"/>
  <c r="C390" i="1"/>
  <c r="B386" i="1"/>
  <c r="T375" i="1"/>
  <c r="D374" i="1"/>
  <c r="U375" i="1" s="1"/>
  <c r="E373" i="1"/>
  <c r="C373" i="1"/>
  <c r="D371" i="1"/>
  <c r="C371" i="1"/>
  <c r="B368" i="1"/>
  <c r="D324" i="1"/>
  <c r="C324" i="1"/>
  <c r="E324" i="1" s="1"/>
  <c r="E321" i="1"/>
  <c r="D320" i="1"/>
  <c r="D322" i="1" s="1"/>
  <c r="C320" i="1"/>
  <c r="C322" i="1" s="1"/>
  <c r="E319" i="1"/>
  <c r="E318" i="1"/>
  <c r="E317" i="1"/>
  <c r="E320" i="1" s="1"/>
  <c r="E322" i="1" s="1"/>
  <c r="E314" i="1"/>
  <c r="D313" i="1"/>
  <c r="D315" i="1" s="1"/>
  <c r="C313" i="1"/>
  <c r="C315" i="1" s="1"/>
  <c r="E312" i="1"/>
  <c r="E313" i="1" s="1"/>
  <c r="E315" i="1" s="1"/>
  <c r="E311" i="1"/>
  <c r="E309" i="1"/>
  <c r="F308" i="1"/>
  <c r="C306" i="1"/>
  <c r="C305" i="1"/>
  <c r="D303" i="1"/>
  <c r="C303" i="1"/>
  <c r="E303" i="1" s="1"/>
  <c r="D302" i="1"/>
  <c r="D307" i="1" s="1"/>
  <c r="C302" i="1"/>
  <c r="E302" i="1" s="1"/>
  <c r="E307" i="1" s="1"/>
  <c r="E308" i="1" s="1"/>
  <c r="E310" i="1" s="1"/>
  <c r="E297" i="1"/>
  <c r="D296" i="1"/>
  <c r="C296" i="1"/>
  <c r="E296" i="1" s="1"/>
  <c r="D295" i="1"/>
  <c r="C295" i="1"/>
  <c r="E295" i="1" s="1"/>
  <c r="E292" i="1"/>
  <c r="D291" i="1"/>
  <c r="D293" i="1" s="1"/>
  <c r="C291" i="1"/>
  <c r="C293" i="1" s="1"/>
  <c r="C300" i="1" s="1"/>
  <c r="E290" i="1"/>
  <c r="E300" i="1" s="1"/>
  <c r="E289" i="1"/>
  <c r="E291" i="1" s="1"/>
  <c r="E293" i="1" s="1"/>
  <c r="E288" i="1"/>
  <c r="C284" i="1"/>
  <c r="C283" i="1"/>
  <c r="E282" i="1"/>
  <c r="D281" i="1"/>
  <c r="C281" i="1" s="1"/>
  <c r="D280" i="1"/>
  <c r="D285" i="1" s="1"/>
  <c r="D287" i="1" s="1"/>
  <c r="E277" i="1"/>
  <c r="C275" i="1"/>
  <c r="E273" i="1"/>
  <c r="D272" i="1"/>
  <c r="E272" i="1" s="1"/>
  <c r="C271" i="1"/>
  <c r="E268" i="1"/>
  <c r="C266" i="1"/>
  <c r="B266" i="1"/>
  <c r="B275" i="1" s="1"/>
  <c r="B284" i="1" s="1"/>
  <c r="B299" i="1" s="1"/>
  <c r="B306" i="1" s="1"/>
  <c r="C265" i="1"/>
  <c r="B265" i="1"/>
  <c r="B274" i="1" s="1"/>
  <c r="B283" i="1" s="1"/>
  <c r="B298" i="1" s="1"/>
  <c r="B305" i="1" s="1"/>
  <c r="E264" i="1"/>
  <c r="B264" i="1"/>
  <c r="B273" i="1" s="1"/>
  <c r="B282" i="1" s="1"/>
  <c r="B297" i="1" s="1"/>
  <c r="B304" i="1" s="1"/>
  <c r="D263" i="1"/>
  <c r="E263" i="1" s="1"/>
  <c r="B263" i="1"/>
  <c r="B272" i="1" s="1"/>
  <c r="B281" i="1" s="1"/>
  <c r="B296" i="1" s="1"/>
  <c r="B303" i="1" s="1"/>
  <c r="D262" i="1"/>
  <c r="D267" i="1" s="1"/>
  <c r="D269" i="1" s="1"/>
  <c r="C262" i="1"/>
  <c r="E262" i="1" s="1"/>
  <c r="E267" i="1" s="1"/>
  <c r="E269" i="1" s="1"/>
  <c r="B262" i="1"/>
  <c r="B271" i="1" s="1"/>
  <c r="B280" i="1" s="1"/>
  <c r="B295" i="1" s="1"/>
  <c r="B302" i="1" s="1"/>
  <c r="E259" i="1"/>
  <c r="C257" i="1"/>
  <c r="C256" i="1"/>
  <c r="E255" i="1"/>
  <c r="D253" i="1"/>
  <c r="D258" i="1" s="1"/>
  <c r="D260" i="1" s="1"/>
  <c r="C253" i="1"/>
  <c r="E253" i="1" s="1"/>
  <c r="D250" i="1"/>
  <c r="C250" i="1"/>
  <c r="B249" i="1"/>
  <c r="B246" i="1"/>
  <c r="B228" i="1"/>
  <c r="V227" i="1"/>
  <c r="T227" i="1"/>
  <c r="S227" i="1"/>
  <c r="R227" i="1"/>
  <c r="D226" i="1"/>
  <c r="U227" i="1" s="1"/>
  <c r="C225" i="1"/>
  <c r="C226" i="1" s="1"/>
  <c r="E224" i="1"/>
  <c r="E220" i="1"/>
  <c r="E218" i="1"/>
  <c r="E217" i="1"/>
  <c r="E216" i="1"/>
  <c r="E215" i="1"/>
  <c r="E214" i="1"/>
  <c r="E213" i="1"/>
  <c r="E212" i="1"/>
  <c r="E221" i="1" s="1"/>
  <c r="E222" i="1" s="1"/>
  <c r="B207" i="1"/>
  <c r="B202" i="1"/>
  <c r="U200" i="1"/>
  <c r="C200" i="1"/>
  <c r="S200" i="1" s="1"/>
  <c r="D199" i="1"/>
  <c r="C195" i="1" s="1"/>
  <c r="C199" i="1"/>
  <c r="D197" i="1"/>
  <c r="C197" i="1"/>
  <c r="E197" i="1" s="1"/>
  <c r="D196" i="1"/>
  <c r="C194" i="1"/>
  <c r="B191" i="1"/>
  <c r="E167" i="1"/>
  <c r="D167" i="1"/>
  <c r="C167" i="1"/>
  <c r="C168" i="1" s="1"/>
  <c r="D166" i="1"/>
  <c r="D168" i="1" s="1"/>
  <c r="C166" i="1"/>
  <c r="D165" i="1"/>
  <c r="D194" i="1" s="1"/>
  <c r="C165" i="1"/>
  <c r="B162" i="1"/>
  <c r="B156" i="1"/>
  <c r="D153" i="1"/>
  <c r="D154" i="1" s="1"/>
  <c r="C153" i="1"/>
  <c r="E153" i="1" s="1"/>
  <c r="D151" i="1"/>
  <c r="D223" i="1" s="1"/>
  <c r="C151" i="1"/>
  <c r="C223" i="1" s="1"/>
  <c r="B149" i="1"/>
  <c r="B145" i="1"/>
  <c r="C143" i="1"/>
  <c r="S143" i="1" s="1"/>
  <c r="D142" i="1"/>
  <c r="U143" i="1" s="1"/>
  <c r="C142" i="1"/>
  <c r="T143" i="1" s="1"/>
  <c r="E141" i="1"/>
  <c r="D141" i="1"/>
  <c r="C141" i="1"/>
  <c r="D140" i="1"/>
  <c r="C140" i="1"/>
  <c r="C477" i="1" s="1"/>
  <c r="B137" i="1"/>
  <c r="B400" i="1" s="1"/>
  <c r="X128" i="1"/>
  <c r="D126" i="1"/>
  <c r="C126" i="1"/>
  <c r="E125" i="1"/>
  <c r="D125" i="1"/>
  <c r="C125" i="1"/>
  <c r="D124" i="1"/>
  <c r="E124" i="1" s="1"/>
  <c r="C124" i="1"/>
  <c r="D123" i="1"/>
  <c r="C123" i="1"/>
  <c r="E123" i="1" s="1"/>
  <c r="D122" i="1"/>
  <c r="C122" i="1"/>
  <c r="E122" i="1" s="1"/>
  <c r="E121" i="1"/>
  <c r="D121" i="1"/>
  <c r="C121" i="1"/>
  <c r="D120" i="1"/>
  <c r="E120" i="1" s="1"/>
  <c r="C120" i="1"/>
  <c r="D119" i="1"/>
  <c r="C119" i="1"/>
  <c r="E119" i="1" s="1"/>
  <c r="D118" i="1"/>
  <c r="C118" i="1"/>
  <c r="B113" i="1"/>
  <c r="B14" i="1"/>
  <c r="R143" i="1" l="1"/>
  <c r="V169" i="1"/>
  <c r="U169" i="1"/>
  <c r="T169" i="1"/>
  <c r="S169" i="1"/>
  <c r="R169" i="1" s="1"/>
  <c r="C227" i="1"/>
  <c r="S226" i="1"/>
  <c r="V226" i="1"/>
  <c r="U226" i="1"/>
  <c r="T226" i="1"/>
  <c r="E127" i="1"/>
  <c r="T168" i="1"/>
  <c r="C169" i="1"/>
  <c r="S168" i="1"/>
  <c r="V168" i="1"/>
  <c r="U168" i="1"/>
  <c r="C450" i="1"/>
  <c r="V446" i="1"/>
  <c r="U446" i="1"/>
  <c r="C447" i="1"/>
  <c r="T446" i="1"/>
  <c r="AB446" i="1"/>
  <c r="T155" i="1"/>
  <c r="S155" i="1"/>
  <c r="U155" i="1"/>
  <c r="C196" i="1"/>
  <c r="E196" i="1" s="1"/>
  <c r="U395" i="1"/>
  <c r="T395" i="1"/>
  <c r="S395" i="1"/>
  <c r="V395" i="1"/>
  <c r="V447" i="1"/>
  <c r="AB447" i="1"/>
  <c r="U447" i="1"/>
  <c r="T447" i="1"/>
  <c r="R447" i="1" s="1"/>
  <c r="R200" i="1"/>
  <c r="C254" i="1"/>
  <c r="E254" i="1" s="1"/>
  <c r="E258" i="1" s="1"/>
  <c r="E260" i="1" s="1"/>
  <c r="E281" i="1"/>
  <c r="C280" i="1"/>
  <c r="D308" i="1"/>
  <c r="E429" i="1"/>
  <c r="E450" i="1"/>
  <c r="B464" i="1"/>
  <c r="B592" i="1"/>
  <c r="B627" i="1"/>
  <c r="B562" i="1"/>
  <c r="B482" i="1"/>
  <c r="B448" i="1"/>
  <c r="B639" i="1"/>
  <c r="B614" i="1"/>
  <c r="B579" i="1"/>
  <c r="B547" i="1"/>
  <c r="B499" i="1"/>
  <c r="C127" i="1"/>
  <c r="B129" i="1"/>
  <c r="E142" i="1"/>
  <c r="E143" i="1" s="1"/>
  <c r="C144" i="1"/>
  <c r="C152" i="1"/>
  <c r="B170" i="1"/>
  <c r="D195" i="1"/>
  <c r="E195" i="1" s="1"/>
  <c r="D200" i="1"/>
  <c r="T200" i="1"/>
  <c r="D227" i="1"/>
  <c r="C276" i="1"/>
  <c r="C278" i="1" s="1"/>
  <c r="B327" i="1"/>
  <c r="S375" i="1"/>
  <c r="R375" i="1" s="1"/>
  <c r="E404" i="1"/>
  <c r="E405" i="1" s="1"/>
  <c r="E407" i="1" s="1"/>
  <c r="D407" i="1" s="1"/>
  <c r="D429" i="1"/>
  <c r="U429" i="1"/>
  <c r="R429" i="1" s="1"/>
  <c r="E439" i="1"/>
  <c r="E446" i="1" s="1"/>
  <c r="C462" i="1"/>
  <c r="E458" i="1"/>
  <c r="E461" i="1"/>
  <c r="R500" i="1"/>
  <c r="D127" i="1"/>
  <c r="C267" i="1"/>
  <c r="C269" i="1" s="1"/>
  <c r="C307" i="1"/>
  <c r="C308" i="1" s="1"/>
  <c r="C403" i="1"/>
  <c r="C430" i="1"/>
  <c r="U463" i="1"/>
  <c r="D463" i="1"/>
  <c r="S463" i="1"/>
  <c r="V463" i="1"/>
  <c r="V497" i="1"/>
  <c r="T497" i="1"/>
  <c r="C498" i="1"/>
  <c r="S497" i="1"/>
  <c r="T503" i="1"/>
  <c r="R503" i="1" s="1"/>
  <c r="V503" i="1"/>
  <c r="U503" i="1"/>
  <c r="E535" i="1"/>
  <c r="E545" i="1" s="1"/>
  <c r="C545" i="1"/>
  <c r="D662" i="1"/>
  <c r="D636" i="1" s="1"/>
  <c r="E636" i="1" s="1"/>
  <c r="E637" i="1" s="1"/>
  <c r="D477" i="1"/>
  <c r="D425" i="1"/>
  <c r="D438" i="1" s="1"/>
  <c r="D403" i="1"/>
  <c r="D143" i="1"/>
  <c r="E166" i="1"/>
  <c r="E168" i="1" s="1"/>
  <c r="E170" i="1" s="1"/>
  <c r="D170" i="1" s="1"/>
  <c r="E199" i="1"/>
  <c r="C201" i="1"/>
  <c r="E225" i="1"/>
  <c r="E226" i="1" s="1"/>
  <c r="E228" i="1" s="1"/>
  <c r="D228" i="1" s="1"/>
  <c r="D271" i="1"/>
  <c r="D276" i="1" s="1"/>
  <c r="D278" i="1" s="1"/>
  <c r="D300" i="1"/>
  <c r="C372" i="1"/>
  <c r="B376" i="1"/>
  <c r="E392" i="1"/>
  <c r="C391" i="1"/>
  <c r="C425" i="1"/>
  <c r="T463" i="1"/>
  <c r="C480" i="1"/>
  <c r="E478" i="1"/>
  <c r="E480" i="1" s="1"/>
  <c r="E482" i="1" s="1"/>
  <c r="D482" i="1" s="1"/>
  <c r="W503" i="1"/>
  <c r="C647" i="1"/>
  <c r="U481" i="1"/>
  <c r="S481" i="1"/>
  <c r="V481" i="1"/>
  <c r="U497" i="1"/>
  <c r="R502" i="1"/>
  <c r="T505" i="1"/>
  <c r="V505" i="1"/>
  <c r="U505" i="1"/>
  <c r="C560" i="1"/>
  <c r="E558" i="1"/>
  <c r="C637" i="1"/>
  <c r="S493" i="1"/>
  <c r="R493" i="1" s="1"/>
  <c r="E495" i="1"/>
  <c r="E497" i="1" s="1"/>
  <c r="E499" i="1" s="1"/>
  <c r="D499" i="1" s="1"/>
  <c r="T495" i="1"/>
  <c r="R495" i="1" s="1"/>
  <c r="S499" i="1"/>
  <c r="E570" i="1"/>
  <c r="E577" i="1" s="1"/>
  <c r="E579" i="1" s="1"/>
  <c r="D579" i="1" s="1"/>
  <c r="E587" i="1"/>
  <c r="E590" i="1" s="1"/>
  <c r="E592" i="1" s="1"/>
  <c r="D592" i="1" s="1"/>
  <c r="U495" i="1"/>
  <c r="D497" i="1"/>
  <c r="T499" i="1"/>
  <c r="AA570" i="1"/>
  <c r="E623" i="1"/>
  <c r="E625" i="1" s="1"/>
  <c r="E627" i="1" s="1"/>
  <c r="D627" i="1" s="1"/>
  <c r="E145" i="1" l="1"/>
  <c r="D145" i="1" s="1"/>
  <c r="U144" i="1"/>
  <c r="R505" i="1"/>
  <c r="R481" i="1"/>
  <c r="C438" i="1"/>
  <c r="E372" i="1"/>
  <c r="E374" i="1" s="1"/>
  <c r="E376" i="1" s="1"/>
  <c r="C374" i="1"/>
  <c r="R497" i="1"/>
  <c r="C310" i="1"/>
  <c r="U128" i="1"/>
  <c r="T128" i="1"/>
  <c r="R128" i="1" s="1"/>
  <c r="W128" i="1"/>
  <c r="V128" i="1"/>
  <c r="E462" i="1"/>
  <c r="E464" i="1" s="1"/>
  <c r="D464" i="1" s="1"/>
  <c r="T430" i="1"/>
  <c r="S430" i="1"/>
  <c r="U430" i="1"/>
  <c r="D325" i="1"/>
  <c r="D310" i="1"/>
  <c r="D323" i="1" s="1"/>
  <c r="R155" i="1"/>
  <c r="E560" i="1"/>
  <c r="C561" i="1"/>
  <c r="B502" i="1"/>
  <c r="C394" i="1"/>
  <c r="E391" i="1"/>
  <c r="E394" i="1" s="1"/>
  <c r="E396" i="1" s="1"/>
  <c r="D396" i="1" s="1"/>
  <c r="R463" i="1"/>
  <c r="B401" i="1"/>
  <c r="D637" i="1"/>
  <c r="V462" i="1"/>
  <c r="T462" i="1"/>
  <c r="W462" i="1"/>
  <c r="S462" i="1"/>
  <c r="U462" i="1"/>
  <c r="C463" i="1"/>
  <c r="E431" i="1"/>
  <c r="D431" i="1" s="1"/>
  <c r="E280" i="1"/>
  <c r="E285" i="1" s="1"/>
  <c r="E287" i="1" s="1"/>
  <c r="C285" i="1"/>
  <c r="C287" i="1" s="1"/>
  <c r="C325" i="1" s="1"/>
  <c r="R395" i="1"/>
  <c r="R446" i="1"/>
  <c r="R168" i="1"/>
  <c r="B163" i="1" s="1"/>
  <c r="E129" i="1"/>
  <c r="D129" i="1" s="1"/>
  <c r="V498" i="1"/>
  <c r="T498" i="1"/>
  <c r="D498" i="1"/>
  <c r="S498" i="1"/>
  <c r="U498" i="1"/>
  <c r="R499" i="1"/>
  <c r="B488" i="1" s="1"/>
  <c r="C481" i="1"/>
  <c r="S480" i="1"/>
  <c r="U480" i="1"/>
  <c r="T480" i="1"/>
  <c r="V480" i="1"/>
  <c r="C258" i="1"/>
  <c r="C260" i="1" s="1"/>
  <c r="C154" i="1"/>
  <c r="E152" i="1"/>
  <c r="E154" i="1" s="1"/>
  <c r="E156" i="1" s="1"/>
  <c r="D156" i="1" s="1"/>
  <c r="D450" i="1"/>
  <c r="E271" i="1"/>
  <c r="E276" i="1" s="1"/>
  <c r="E278" i="1" s="1"/>
  <c r="R226" i="1"/>
  <c r="B208" i="1" s="1"/>
  <c r="S637" i="1"/>
  <c r="V637" i="1"/>
  <c r="U637" i="1"/>
  <c r="T637" i="1"/>
  <c r="T144" i="1"/>
  <c r="S144" i="1"/>
  <c r="C546" i="1"/>
  <c r="E547" i="1"/>
  <c r="D547" i="1" s="1"/>
  <c r="U201" i="1"/>
  <c r="T201" i="1"/>
  <c r="E200" i="1"/>
  <c r="E202" i="1" s="1"/>
  <c r="D202" i="1" s="1"/>
  <c r="S201" i="1"/>
  <c r="W127" i="1"/>
  <c r="V127" i="1"/>
  <c r="U127" i="1"/>
  <c r="C128" i="1"/>
  <c r="Y128" i="1" s="1"/>
  <c r="T127" i="1"/>
  <c r="R144" i="1" l="1"/>
  <c r="B138" i="1" s="1"/>
  <c r="R480" i="1"/>
  <c r="B474" i="1" s="1"/>
  <c r="R498" i="1"/>
  <c r="R430" i="1"/>
  <c r="B423" i="1" s="1"/>
  <c r="R127" i="1"/>
  <c r="B114" i="1" s="1"/>
  <c r="R637" i="1"/>
  <c r="B435" i="1"/>
  <c r="R201" i="1"/>
  <c r="B192" i="1" s="1"/>
  <c r="E323" i="1"/>
  <c r="E325" i="1" s="1"/>
  <c r="E327" i="1" s="1"/>
  <c r="D327" i="1" s="1"/>
  <c r="R462" i="1"/>
  <c r="B455" i="1" s="1"/>
  <c r="V638" i="1"/>
  <c r="U638" i="1"/>
  <c r="T638" i="1"/>
  <c r="S638" i="1"/>
  <c r="V394" i="1"/>
  <c r="T394" i="1"/>
  <c r="S394" i="1"/>
  <c r="R394" i="1" s="1"/>
  <c r="B387" i="1" s="1"/>
  <c r="U394" i="1"/>
  <c r="U374" i="1"/>
  <c r="T374" i="1"/>
  <c r="S374" i="1"/>
  <c r="R374" i="1" s="1"/>
  <c r="B369" i="1" s="1"/>
  <c r="U154" i="1"/>
  <c r="T154" i="1"/>
  <c r="S154" i="1"/>
  <c r="R154" i="1" s="1"/>
  <c r="B150" i="1" s="1"/>
  <c r="V154" i="1"/>
  <c r="C323" i="1"/>
  <c r="E639" i="1"/>
  <c r="D639" i="1" s="1"/>
  <c r="R638" i="1" l="1"/>
  <c r="B632" i="1" s="1"/>
</calcChain>
</file>

<file path=xl/comments1.xml><?xml version="1.0" encoding="utf-8"?>
<comments xmlns="http://schemas.openxmlformats.org/spreadsheetml/2006/main">
  <authors>
    <author>JUAN J. SANCHEZ</author>
  </authors>
  <commentList>
    <comment ref="C392"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<sst xmlns="http://schemas.openxmlformats.org/spreadsheetml/2006/main" count="473" uniqueCount="424">
  <si>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</si>
  <si>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</si>
  <si>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</si>
  <si>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</si>
  <si>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</si>
  <si>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</si>
  <si>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</si>
  <si>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</si>
  <si>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</si>
  <si>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</si>
  <si>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</si>
  <si>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</si>
  <si>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</si>
  <si>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</si>
  <si>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</si>
  <si>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Rafael Evangelista Ulloa</t>
  </si>
  <si>
    <t>Director Comercial</t>
  </si>
  <si>
    <t>Joel Andrés Bautista Gómez</t>
  </si>
  <si>
    <t>Jurídico</t>
  </si>
  <si>
    <t>Humberto Antonio Hernandez</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</si>
  <si>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</si>
  <si>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</si>
  <si>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</si>
  <si>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</si>
  <si>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</si>
  <si>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</si>
  <si>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</si>
  <si>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</si>
  <si>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</si>
  <si>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</si>
  <si>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</si>
  <si>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</si>
  <si>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</si>
  <si>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</si>
  <si>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</si>
  <si>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</si>
  <si>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</si>
  <si>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</si>
  <si>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</si>
  <si>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</si>
  <si>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</si>
  <si>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</si>
  <si>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</si>
  <si>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</si>
  <si>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</si>
  <si>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</si>
  <si>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</si>
  <si>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</si>
  <si>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</si>
  <si>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</si>
  <si>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</si>
  <si>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</si>
  <si>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</si>
  <si>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</si>
  <si>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</si>
  <si>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</si>
  <si>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</si>
  <si>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</si>
  <si>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</si>
  <si>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</si>
  <si>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</si>
  <si>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</si>
  <si>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</si>
  <si>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</si>
  <si>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</si>
  <si>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</si>
  <si>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</si>
  <si>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</si>
  <si>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</si>
  <si>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</si>
  <si>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</si>
  <si>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</si>
  <si>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</si>
  <si>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</si>
  <si>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</si>
  <si>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</si>
  <si>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</si>
  <si>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</si>
  <si>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</si>
  <si>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</si>
  <si>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</si>
  <si>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</si>
  <si>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</si>
  <si>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</si>
  <si>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</si>
  <si>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</si>
  <si>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</si>
  <si>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</si>
  <si>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</si>
  <si>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</si>
  <si>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</si>
  <si>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</si>
  <si>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tres caja chica , una para compras por valor de RD$80,000.00 y una para compras en la planta la dura por valor de RD$10,000.00, una para menudo por valor de RD$5,000.00.</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</si>
  <si>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</si>
  <si>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</si>
  <si>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</si>
  <si>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</si>
  <si>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</si>
  <si>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</si>
  <si>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</si>
  <si>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</si>
  <si>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</si>
  <si>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</si>
  <si>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</si>
  <si>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</si>
  <si>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</si>
  <si>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</si>
  <si>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</si>
  <si>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</si>
  <si>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</si>
  <si>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#8</t>
  </si>
  <si>
    <t>Cuentas por cobrar a corto plazo</t>
  </si>
  <si>
    <t xml:space="preserve"> </t>
  </si>
  <si>
    <t>Cuentas por Cobrar (transferencia del gobierno)</t>
  </si>
  <si>
    <t>Cuentas por Cobrar empleados</t>
  </si>
  <si>
    <t>Total Cuentas y Documentos por Cobrar</t>
  </si>
  <si>
    <t xml:space="preserve">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t>
  </si>
  <si>
    <t>Nota # 9</t>
  </si>
  <si>
    <t>Inventario</t>
  </si>
  <si>
    <t>Inventarios Materiales y suministros para consumo y prestación de servicios</t>
  </si>
  <si>
    <t>Total en Inventario</t>
  </si>
  <si>
    <t>Nota # 10</t>
  </si>
  <si>
    <t>Pagos anticipados</t>
  </si>
  <si>
    <t>Seguros bienes muebles balance inicial</t>
  </si>
  <si>
    <t>Adquisición de seguros</t>
  </si>
  <si>
    <t>Gasto por seguros consumido</t>
  </si>
  <si>
    <t>Seguros bienes muebles</t>
  </si>
  <si>
    <t>Total Pagos anticipados</t>
  </si>
  <si>
    <t>Nota # 11</t>
  </si>
  <si>
    <t>Otros activos corrientes</t>
  </si>
  <si>
    <t>Recibimos la autorizacion para ajustar esta partida, en este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</si>
  <si>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</si>
  <si>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</si>
  <si>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</si>
  <si>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</si>
  <si>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</si>
  <si>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</si>
  <si>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</si>
  <si>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</si>
  <si>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</si>
  <si>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</si>
  <si>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</si>
  <si>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</si>
  <si>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</si>
  <si>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</si>
  <si>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</si>
  <si>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</si>
  <si>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</si>
  <si>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</si>
  <si>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</si>
  <si>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</si>
  <si>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</si>
  <si>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</si>
  <si>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</si>
  <si>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Nota # 12</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</si>
  <si>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</si>
  <si>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</si>
  <si>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</si>
  <si>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</si>
  <si>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</si>
  <si>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</si>
  <si>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</si>
  <si>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</si>
  <si>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</si>
  <si>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</si>
  <si>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</si>
  <si>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</si>
  <si>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</si>
  <si>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</si>
  <si>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</si>
  <si>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</si>
  <si>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</si>
  <si>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</si>
  <si>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</si>
  <si>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</si>
  <si>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</si>
  <si>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</si>
  <si>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</si>
  <si>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</si>
  <si>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</si>
  <si>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</si>
  <si>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</si>
  <si>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</si>
  <si>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</si>
  <si>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</si>
  <si>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</si>
  <si>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</si>
  <si>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</si>
  <si>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</si>
  <si>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</si>
  <si>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</si>
  <si>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</si>
  <si>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</si>
  <si>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</si>
  <si>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</si>
  <si>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</si>
  <si>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</si>
  <si>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</si>
  <si>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</si>
  <si>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</si>
  <si>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</si>
  <si>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</si>
  <si>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</si>
  <si>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</si>
  <si>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</si>
  <si>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</si>
  <si>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</si>
  <si>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</si>
  <si>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</si>
  <si>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</si>
  <si>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</si>
  <si>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</si>
  <si>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</si>
  <si>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</si>
  <si>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14</t>
  </si>
  <si>
    <t>Cuentas por pagar a corto plazo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</si>
  <si>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</si>
  <si>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</si>
  <si>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</si>
  <si>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</si>
  <si>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</si>
  <si>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</si>
  <si>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</si>
  <si>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</si>
  <si>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</si>
  <si>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</si>
  <si>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</si>
  <si>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</si>
  <si>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15</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</si>
  <si>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</si>
  <si>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</si>
  <si>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</si>
  <si>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</si>
  <si>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</si>
  <si>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</si>
  <si>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</si>
  <si>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</si>
  <si>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</si>
  <si>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</si>
  <si>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</si>
  <si>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</si>
  <si>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</si>
  <si>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</si>
  <si>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</si>
  <si>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16</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</si>
  <si>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</si>
  <si>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</si>
  <si>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</si>
  <si>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</si>
  <si>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</si>
  <si>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</si>
  <si>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</si>
  <si>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17</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</si>
  <si>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</si>
  <si>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</si>
  <si>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</si>
  <si>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</si>
  <si>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</si>
  <si>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</si>
  <si>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</si>
  <si>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</si>
  <si>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</si>
  <si>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</si>
  <si>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</si>
  <si>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</si>
  <si>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</si>
  <si>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</si>
  <si>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</si>
  <si>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</si>
  <si>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</si>
  <si>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</si>
  <si>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</si>
  <si>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</si>
  <si>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</si>
  <si>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</si>
  <si>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</si>
  <si>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</si>
  <si>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</si>
  <si>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</si>
  <si>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</si>
  <si>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2025</t>
  </si>
  <si>
    <t>Total aportes de capital 2025</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</si>
  <si>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</si>
  <si>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</si>
  <si>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</si>
  <si>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</si>
  <si>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</si>
  <si>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</si>
  <si>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</si>
  <si>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</si>
  <si>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</si>
  <si>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</si>
  <si>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</si>
  <si>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</si>
  <si>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</si>
  <si>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</si>
  <si>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</si>
  <si>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</si>
  <si>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</si>
  <si>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</si>
  <si>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n/a</t>
  </si>
  <si>
    <t xml:space="preserve"> En el presupuesto 2025 la cuenta presupuestaria  de ayuda y donaciones ocasionales a hogares y personas no fue incluida en el presupuesto,  por tal motivo tenemos una no objeción de la Contraloría General de la Republica, este monto fue utilizado para una colaboración para un empleado de la institución el cual sufrió un accidente de transito.</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</si>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</sst>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_);\(0\)"/>
    <numFmt numFmtId="165" formatCode="&quot;RD$&quot;#,##0.00;[Red]\-&quot;RD$&quot;#,##0.00"/>
    <numFmt numFmtId="166" formatCode="0.0%"/>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7">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43" fontId="3" fillId="0" borderId="4" xfId="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166" fontId="2" fillId="0" borderId="1" xfId="0" applyNumberFormat="1" applyFont="1" applyBorder="1"/>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9" fontId="2" fillId="0" borderId="1" xfId="2" applyNumberFormat="1" applyFont="1" applyBorder="1" applyAlignment="1">
      <alignment horizontal="center"/>
    </xf>
    <xf numFmtId="0" fontId="3" fillId="0" borderId="6" xfId="0" applyFont="1" applyBorder="1" applyAlignment="1">
      <alignment horizontal="left" wrapText="1"/>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130</xdr:row>
      <xdr:rowOff>19050</xdr:rowOff>
    </xdr:from>
    <xdr:to>
      <xdr:col>5</xdr:col>
      <xdr:colOff>0</xdr:colOff>
      <xdr:row>133</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99535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184</xdr:row>
      <xdr:rowOff>123825</xdr:rowOff>
    </xdr:from>
    <xdr:to>
      <xdr:col>5</xdr:col>
      <xdr:colOff>0</xdr:colOff>
      <xdr:row>187</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0347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239</xdr:row>
      <xdr:rowOff>95250</xdr:rowOff>
    </xdr:from>
    <xdr:to>
      <xdr:col>5</xdr:col>
      <xdr:colOff>0</xdr:colOff>
      <xdr:row>242</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6740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414</xdr:row>
      <xdr:rowOff>66675</xdr:rowOff>
    </xdr:from>
    <xdr:to>
      <xdr:col>5</xdr:col>
      <xdr:colOff>0</xdr:colOff>
      <xdr:row>417</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2097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466</xdr:row>
      <xdr:rowOff>76200</xdr:rowOff>
    </xdr:from>
    <xdr:to>
      <xdr:col>5</xdr:col>
      <xdr:colOff>0</xdr:colOff>
      <xdr:row>468</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623935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505</xdr:row>
      <xdr:rowOff>85725</xdr:rowOff>
    </xdr:from>
    <xdr:to>
      <xdr:col>5</xdr:col>
      <xdr:colOff>0</xdr:colOff>
      <xdr:row>508</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0"/>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548</xdr:row>
      <xdr:rowOff>57150</xdr:rowOff>
    </xdr:from>
    <xdr:to>
      <xdr:col>5</xdr:col>
      <xdr:colOff>0</xdr:colOff>
      <xdr:row>551</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60418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595</xdr:row>
      <xdr:rowOff>104775</xdr:rowOff>
    </xdr:from>
    <xdr:to>
      <xdr:col>5</xdr:col>
      <xdr:colOff>0</xdr:colOff>
      <xdr:row>597</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56049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362</xdr:row>
      <xdr:rowOff>0</xdr:rowOff>
    </xdr:from>
    <xdr:to>
      <xdr:col>5</xdr:col>
      <xdr:colOff>0</xdr:colOff>
      <xdr:row>364</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6276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641</xdr:row>
      <xdr:rowOff>57150</xdr:rowOff>
    </xdr:from>
    <xdr:to>
      <xdr:col>5</xdr:col>
      <xdr:colOff>0</xdr:colOff>
      <xdr:row>644</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54156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328</xdr:row>
          <xdr:rowOff>76200</xdr:rowOff>
        </xdr:from>
        <xdr:to>
          <xdr:col>22</xdr:col>
          <xdr:colOff>129117</xdr:colOff>
          <xdr:row>360</xdr:row>
          <xdr:rowOff>168275</xdr:rowOff>
        </xdr:to>
        <xdr:pic>
          <xdr:nvPicPr>
            <xdr:cNvPr id="16" name="18 Imagen"/>
            <xdr:cNvPicPr>
              <a:picLocks noChangeAspect="1" noChangeArrowheads="1"/>
              <a:extLst>
                <a:ext uri="{84589F7E-364E-4C9E-8A38-B11213B215E9}">
                  <a14:cameraTool cellRange="[1]nota12!$A$6:$K$32" spid="_x0000_s1026"/>
                </a:ext>
              </a:extLst>
            </xdr:cNvPicPr>
          </xdr:nvPicPr>
          <xdr:blipFill>
            <a:blip xmlns:r="http://schemas.openxmlformats.org/officeDocument/2006/relationships" r:embed="rId3"/>
            <a:srcRect/>
            <a:stretch>
              <a:fillRect/>
            </a:stretch>
          </xdr:blipFill>
          <xdr:spPr bwMode="auto">
            <a:xfrm>
              <a:off x="85725" y="62083950"/>
              <a:ext cx="10911417" cy="6445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ILENY%20%20%202\ESTADO%20CORAAMOCA%20CG%2005%20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Au"/>
      <sheetName val="Hoja3"/>
      <sheetName val="Hoja5"/>
      <sheetName val="Mat"/>
      <sheetName val="BALANZA"/>
      <sheetName val="BALANZA G"/>
      <sheetName val="DE"/>
      <sheetName val="Pres A"/>
      <sheetName val="25A"/>
      <sheetName val="Notas NF"/>
      <sheetName val="nota12"/>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sheetData sheetId="6"/>
      <sheetData sheetId="7">
        <row r="3">
          <cell r="B3" t="str">
            <v>31 de MAYO del 2026</v>
          </cell>
          <cell r="C3" t="str">
            <v xml:space="preserve"> - 2025</v>
          </cell>
        </row>
        <row r="4">
          <cell r="B4">
            <v>2026</v>
          </cell>
          <cell r="C4">
            <v>2025</v>
          </cell>
        </row>
        <row r="21">
          <cell r="B21" t="str">
            <v>AUTOMOVILES Y CAMIONES</v>
          </cell>
          <cell r="C21">
            <v>55553258.920000002</v>
          </cell>
        </row>
      </sheetData>
      <sheetData sheetId="8">
        <row r="12">
          <cell r="C12">
            <v>0</v>
          </cell>
          <cell r="D12">
            <v>0</v>
          </cell>
        </row>
        <row r="13">
          <cell r="C13">
            <v>95000</v>
          </cell>
          <cell r="D13">
            <v>95000</v>
          </cell>
        </row>
        <row r="15">
          <cell r="C15">
            <v>80000</v>
          </cell>
          <cell r="D15">
            <v>80000</v>
          </cell>
        </row>
        <row r="22">
          <cell r="C22">
            <v>0</v>
          </cell>
          <cell r="D22">
            <v>0</v>
          </cell>
        </row>
        <row r="23">
          <cell r="C23">
            <v>0</v>
          </cell>
          <cell r="D23">
            <v>1391.2</v>
          </cell>
        </row>
        <row r="24">
          <cell r="C24">
            <v>0</v>
          </cell>
          <cell r="D24">
            <v>0</v>
          </cell>
        </row>
        <row r="25">
          <cell r="C25">
            <v>690928.99</v>
          </cell>
          <cell r="D25">
            <v>814839.56</v>
          </cell>
        </row>
        <row r="26">
          <cell r="C26">
            <v>1303501.18</v>
          </cell>
          <cell r="D26">
            <v>331933.27</v>
          </cell>
        </row>
        <row r="27">
          <cell r="C27">
            <v>392951415.81999999</v>
          </cell>
          <cell r="D27">
            <v>421530269.51999998</v>
          </cell>
        </row>
        <row r="28">
          <cell r="C28">
            <v>0</v>
          </cell>
          <cell r="D28">
            <v>0</v>
          </cell>
        </row>
        <row r="30">
          <cell r="C30">
            <v>0</v>
          </cell>
          <cell r="D30">
            <v>0</v>
          </cell>
        </row>
        <row r="34">
          <cell r="C34">
            <v>0</v>
          </cell>
        </row>
        <row r="40">
          <cell r="C40">
            <v>0</v>
          </cell>
          <cell r="D40">
            <v>0</v>
          </cell>
        </row>
        <row r="41">
          <cell r="C41">
            <v>12735160.02</v>
          </cell>
          <cell r="D41">
            <v>15776376.33</v>
          </cell>
        </row>
        <row r="46">
          <cell r="C46">
            <v>0</v>
          </cell>
        </row>
        <row r="48">
          <cell r="C48">
            <v>217132.89</v>
          </cell>
          <cell r="D48">
            <v>488548.94</v>
          </cell>
        </row>
        <row r="55">
          <cell r="C55">
            <v>1623675</v>
          </cell>
          <cell r="D55">
            <v>1623675</v>
          </cell>
          <cell r="F55">
            <v>1623675</v>
          </cell>
        </row>
        <row r="57">
          <cell r="J57">
            <v>0</v>
          </cell>
        </row>
        <row r="58">
          <cell r="C58">
            <v>953149176.46000004</v>
          </cell>
          <cell r="D58">
            <v>953149176.46000004</v>
          </cell>
        </row>
        <row r="59">
          <cell r="C59">
            <v>4551737.59</v>
          </cell>
          <cell r="D59">
            <v>4551737.59</v>
          </cell>
        </row>
        <row r="64">
          <cell r="C64">
            <v>55553258.920000002</v>
          </cell>
          <cell r="D64">
            <v>55553258.920000002</v>
          </cell>
          <cell r="F64">
            <v>48572302.979999997</v>
          </cell>
        </row>
        <row r="65">
          <cell r="C65">
            <v>11859842.82</v>
          </cell>
          <cell r="D65">
            <v>11514419.15</v>
          </cell>
        </row>
        <row r="68">
          <cell r="C68">
            <v>510150</v>
          </cell>
          <cell r="D68">
            <v>510150</v>
          </cell>
          <cell r="F68">
            <v>396650</v>
          </cell>
        </row>
        <row r="71">
          <cell r="C71">
            <v>6890064.9800000004</v>
          </cell>
          <cell r="D71">
            <v>6890064.9800000004</v>
          </cell>
        </row>
        <row r="74">
          <cell r="C74">
            <v>28796945.620000001</v>
          </cell>
          <cell r="D74">
            <v>28796945.620000001</v>
          </cell>
        </row>
        <row r="77">
          <cell r="C77">
            <v>932591.88</v>
          </cell>
        </row>
        <row r="95">
          <cell r="C95">
            <v>0</v>
          </cell>
          <cell r="D95">
            <v>0</v>
          </cell>
        </row>
        <row r="96">
          <cell r="C96">
            <v>0</v>
          </cell>
          <cell r="D96">
            <v>0</v>
          </cell>
        </row>
        <row r="97">
          <cell r="C97">
            <v>0</v>
          </cell>
          <cell r="D97">
            <v>0</v>
          </cell>
        </row>
        <row r="98">
          <cell r="C98">
            <v>11361</v>
          </cell>
          <cell r="D98">
            <v>11361</v>
          </cell>
        </row>
        <row r="99">
          <cell r="C99">
            <v>0</v>
          </cell>
          <cell r="D99">
            <v>0</v>
          </cell>
        </row>
        <row r="100">
          <cell r="C100">
            <v>56304.6</v>
          </cell>
          <cell r="D100">
            <v>56304.6</v>
          </cell>
        </row>
        <row r="101">
          <cell r="C101">
            <v>0</v>
          </cell>
          <cell r="D101">
            <v>0</v>
          </cell>
        </row>
        <row r="102">
          <cell r="C102">
            <v>71945.25</v>
          </cell>
          <cell r="D102">
            <v>71945.25</v>
          </cell>
        </row>
        <row r="105">
          <cell r="C105">
            <v>0</v>
          </cell>
          <cell r="D105">
            <v>0</v>
          </cell>
        </row>
        <row r="106">
          <cell r="C106">
            <v>0</v>
          </cell>
          <cell r="D106">
            <v>0</v>
          </cell>
        </row>
        <row r="108">
          <cell r="C108">
            <v>10249806.470000001</v>
          </cell>
          <cell r="D108">
            <v>8951565.0899999999</v>
          </cell>
        </row>
        <row r="109">
          <cell r="C109">
            <v>0</v>
          </cell>
          <cell r="D109">
            <v>0</v>
          </cell>
        </row>
        <row r="110">
          <cell r="C110">
            <v>0</v>
          </cell>
          <cell r="D110">
            <v>0</v>
          </cell>
        </row>
        <row r="115">
          <cell r="C115">
            <v>0</v>
          </cell>
          <cell r="D115">
            <v>0</v>
          </cell>
        </row>
        <row r="116">
          <cell r="C116">
            <v>0</v>
          </cell>
          <cell r="D116">
            <v>0</v>
          </cell>
        </row>
        <row r="119">
          <cell r="C119">
            <v>0</v>
          </cell>
          <cell r="D119">
            <v>0</v>
          </cell>
        </row>
        <row r="128">
          <cell r="C128">
            <v>808793054.60000002</v>
          </cell>
          <cell r="D128">
            <v>808793054.60000002</v>
          </cell>
        </row>
        <row r="136">
          <cell r="C136">
            <v>75499614.459999993</v>
          </cell>
          <cell r="D136">
            <v>186534488.11000001</v>
          </cell>
        </row>
        <row r="149">
          <cell r="C149">
            <v>0</v>
          </cell>
        </row>
        <row r="153">
          <cell r="C153">
            <v>19965835</v>
          </cell>
        </row>
        <row r="154">
          <cell r="C154">
            <v>0</v>
          </cell>
        </row>
        <row r="155">
          <cell r="C155">
            <v>23143260</v>
          </cell>
        </row>
        <row r="162">
          <cell r="C162">
            <v>61758254.670000002</v>
          </cell>
        </row>
        <row r="163">
          <cell r="C163">
            <v>50000</v>
          </cell>
        </row>
        <row r="164">
          <cell r="C164">
            <v>1151750</v>
          </cell>
        </row>
        <row r="165">
          <cell r="C165">
            <v>522280</v>
          </cell>
        </row>
        <row r="166">
          <cell r="C166">
            <v>0</v>
          </cell>
        </row>
        <row r="167">
          <cell r="C167">
            <v>0</v>
          </cell>
        </row>
        <row r="168">
          <cell r="C168">
            <v>169063.2</v>
          </cell>
        </row>
        <row r="169">
          <cell r="C169">
            <v>0</v>
          </cell>
        </row>
        <row r="170">
          <cell r="C170">
            <v>0</v>
          </cell>
        </row>
        <row r="171">
          <cell r="C171">
            <v>0</v>
          </cell>
        </row>
        <row r="172">
          <cell r="C172">
            <v>373839.4</v>
          </cell>
        </row>
        <row r="173">
          <cell r="C173">
            <v>595175</v>
          </cell>
        </row>
        <row r="174">
          <cell r="C174">
            <v>2742240</v>
          </cell>
        </row>
        <row r="175">
          <cell r="C175">
            <v>0</v>
          </cell>
        </row>
        <row r="176">
          <cell r="C176">
            <v>0</v>
          </cell>
        </row>
        <row r="177">
          <cell r="C177">
            <v>0</v>
          </cell>
        </row>
        <row r="178">
          <cell r="C178">
            <v>0</v>
          </cell>
        </row>
        <row r="180">
          <cell r="C180">
            <v>0</v>
          </cell>
        </row>
        <row r="181">
          <cell r="C181">
            <v>1075000</v>
          </cell>
        </row>
        <row r="182">
          <cell r="C182">
            <v>0</v>
          </cell>
        </row>
        <row r="183">
          <cell r="C183">
            <v>0</v>
          </cell>
        </row>
        <row r="184">
          <cell r="C184">
            <v>0</v>
          </cell>
        </row>
        <row r="186">
          <cell r="C186">
            <v>155800</v>
          </cell>
        </row>
        <row r="187">
          <cell r="C187">
            <v>0</v>
          </cell>
        </row>
        <row r="188">
          <cell r="C188">
            <v>0</v>
          </cell>
        </row>
        <row r="191">
          <cell r="C191">
            <v>4423765.6500000004</v>
          </cell>
        </row>
        <row r="192">
          <cell r="C192">
            <v>4496723.55</v>
          </cell>
        </row>
        <row r="193">
          <cell r="C193">
            <v>730250.64</v>
          </cell>
        </row>
        <row r="199">
          <cell r="C199">
            <v>0</v>
          </cell>
          <cell r="D199">
            <v>0</v>
          </cell>
        </row>
        <row r="200">
          <cell r="C200">
            <v>0</v>
          </cell>
          <cell r="D200">
            <v>0</v>
          </cell>
        </row>
        <row r="204">
          <cell r="C204">
            <v>0</v>
          </cell>
          <cell r="D204">
            <v>1401846.63</v>
          </cell>
        </row>
        <row r="205">
          <cell r="C205">
            <v>753463.74</v>
          </cell>
          <cell r="D205">
            <v>1787361.81</v>
          </cell>
        </row>
        <row r="206">
          <cell r="C206">
            <v>390881.8</v>
          </cell>
          <cell r="D206">
            <v>927194.72</v>
          </cell>
        </row>
        <row r="207">
          <cell r="C207">
            <v>0</v>
          </cell>
          <cell r="D207">
            <v>0</v>
          </cell>
        </row>
        <row r="208">
          <cell r="C208">
            <v>119328.52</v>
          </cell>
          <cell r="D208">
            <v>328909.98</v>
          </cell>
        </row>
        <row r="209">
          <cell r="C209">
            <v>25194787.539999999</v>
          </cell>
          <cell r="D209">
            <v>72820992.290000007</v>
          </cell>
        </row>
        <row r="210">
          <cell r="C210">
            <v>0</v>
          </cell>
          <cell r="D210">
            <v>167000</v>
          </cell>
        </row>
        <row r="211">
          <cell r="C211">
            <v>0</v>
          </cell>
          <cell r="D211">
            <v>0</v>
          </cell>
        </row>
        <row r="212">
          <cell r="C212">
            <v>759377</v>
          </cell>
          <cell r="D212">
            <v>984627</v>
          </cell>
        </row>
        <row r="213">
          <cell r="C213">
            <v>526854</v>
          </cell>
          <cell r="D213">
            <v>1073392.55</v>
          </cell>
        </row>
        <row r="214">
          <cell r="C214">
            <v>0</v>
          </cell>
          <cell r="D214">
            <v>0</v>
          </cell>
        </row>
        <row r="215">
          <cell r="C215">
            <v>0</v>
          </cell>
          <cell r="D215">
            <v>0</v>
          </cell>
        </row>
        <row r="216">
          <cell r="C216">
            <v>3500</v>
          </cell>
          <cell r="D216">
            <v>0</v>
          </cell>
        </row>
        <row r="217">
          <cell r="C217">
            <v>0</v>
          </cell>
          <cell r="D217">
            <v>0</v>
          </cell>
        </row>
        <row r="218">
          <cell r="C218">
            <v>0</v>
          </cell>
          <cell r="D218">
            <v>0</v>
          </cell>
        </row>
        <row r="220">
          <cell r="C220">
            <v>0</v>
          </cell>
          <cell r="D220">
            <v>2252289.46</v>
          </cell>
        </row>
        <row r="221">
          <cell r="C221">
            <v>0</v>
          </cell>
          <cell r="D221">
            <v>333450</v>
          </cell>
        </row>
        <row r="222">
          <cell r="C222">
            <v>0</v>
          </cell>
          <cell r="D222">
            <v>0</v>
          </cell>
        </row>
        <row r="223">
          <cell r="C223">
            <v>457627.12</v>
          </cell>
          <cell r="D223">
            <v>290250</v>
          </cell>
        </row>
        <row r="224">
          <cell r="C224">
            <v>0</v>
          </cell>
          <cell r="D224">
            <v>650000</v>
          </cell>
        </row>
        <row r="225">
          <cell r="C225">
            <v>0</v>
          </cell>
          <cell r="D225">
            <v>0</v>
          </cell>
        </row>
        <row r="226">
          <cell r="C226">
            <v>0</v>
          </cell>
          <cell r="D226">
            <v>0</v>
          </cell>
        </row>
        <row r="227">
          <cell r="C227">
            <v>271416.05</v>
          </cell>
          <cell r="D227">
            <v>611630.71</v>
          </cell>
        </row>
        <row r="228">
          <cell r="C228">
            <v>286377.58</v>
          </cell>
          <cell r="D228">
            <v>45048.24</v>
          </cell>
        </row>
        <row r="230">
          <cell r="C230">
            <v>0</v>
          </cell>
          <cell r="D230">
            <v>0</v>
          </cell>
        </row>
        <row r="231">
          <cell r="C231">
            <v>0</v>
          </cell>
          <cell r="D231">
            <v>0</v>
          </cell>
        </row>
        <row r="232">
          <cell r="C232">
            <v>3044521.31</v>
          </cell>
          <cell r="D232">
            <v>2856839.67</v>
          </cell>
        </row>
        <row r="233">
          <cell r="C233">
            <v>0</v>
          </cell>
          <cell r="D233">
            <v>0</v>
          </cell>
        </row>
        <row r="234">
          <cell r="C234">
            <v>0</v>
          </cell>
          <cell r="D234">
            <v>0</v>
          </cell>
        </row>
        <row r="235">
          <cell r="C235">
            <v>0</v>
          </cell>
          <cell r="D235">
            <v>0</v>
          </cell>
        </row>
        <row r="236">
          <cell r="C236">
            <v>0</v>
          </cell>
          <cell r="D236">
            <v>0</v>
          </cell>
        </row>
        <row r="238">
          <cell r="C238">
            <v>0</v>
          </cell>
          <cell r="D238">
            <v>0</v>
          </cell>
        </row>
        <row r="239">
          <cell r="C239">
            <v>0</v>
          </cell>
          <cell r="D239">
            <v>0</v>
          </cell>
        </row>
        <row r="240">
          <cell r="C240">
            <v>0</v>
          </cell>
          <cell r="D240">
            <v>0</v>
          </cell>
        </row>
        <row r="241">
          <cell r="C241">
            <v>772666.87</v>
          </cell>
          <cell r="D241">
            <v>2374661.02</v>
          </cell>
        </row>
        <row r="242">
          <cell r="C242">
            <v>0</v>
          </cell>
          <cell r="D242">
            <v>218728.81</v>
          </cell>
        </row>
        <row r="243">
          <cell r="C243">
            <v>2760</v>
          </cell>
          <cell r="D243">
            <v>7445</v>
          </cell>
        </row>
        <row r="244">
          <cell r="C244">
            <v>4573.25</v>
          </cell>
          <cell r="D244">
            <v>9589.5</v>
          </cell>
        </row>
        <row r="245">
          <cell r="C245">
            <v>0</v>
          </cell>
          <cell r="D245">
            <v>0</v>
          </cell>
        </row>
        <row r="247">
          <cell r="C247">
            <v>0</v>
          </cell>
          <cell r="D247">
            <v>0</v>
          </cell>
        </row>
        <row r="248">
          <cell r="C248">
            <v>473453.39</v>
          </cell>
          <cell r="D248">
            <v>105932.2</v>
          </cell>
        </row>
        <row r="249">
          <cell r="C249">
            <v>590451.74</v>
          </cell>
          <cell r="D249">
            <v>692897.94</v>
          </cell>
        </row>
        <row r="250">
          <cell r="C250">
            <v>0</v>
          </cell>
          <cell r="D250">
            <v>0</v>
          </cell>
        </row>
        <row r="251">
          <cell r="C251">
            <v>0</v>
          </cell>
          <cell r="D251">
            <v>0</v>
          </cell>
        </row>
        <row r="252">
          <cell r="C252">
            <v>700332.62</v>
          </cell>
          <cell r="D252">
            <v>0</v>
          </cell>
        </row>
        <row r="253">
          <cell r="C253">
            <v>406776</v>
          </cell>
          <cell r="D253">
            <v>204000</v>
          </cell>
        </row>
        <row r="254">
          <cell r="C254">
            <v>1761153.29</v>
          </cell>
          <cell r="D254">
            <v>6988501.3600000003</v>
          </cell>
        </row>
        <row r="255">
          <cell r="C255">
            <v>0</v>
          </cell>
          <cell r="D255">
            <v>0</v>
          </cell>
        </row>
        <row r="260">
          <cell r="C260">
            <v>104938</v>
          </cell>
          <cell r="D260">
            <v>816139.39</v>
          </cell>
        </row>
        <row r="262">
          <cell r="C262">
            <v>243777.47</v>
          </cell>
          <cell r="D262">
            <v>521762.58</v>
          </cell>
        </row>
        <row r="263">
          <cell r="C263">
            <v>0</v>
          </cell>
          <cell r="D263">
            <v>0</v>
          </cell>
        </row>
        <row r="264">
          <cell r="C264">
            <v>0</v>
          </cell>
          <cell r="D264">
            <v>636000</v>
          </cell>
        </row>
        <row r="265">
          <cell r="C265">
            <v>0</v>
          </cell>
          <cell r="D265">
            <v>0</v>
          </cell>
        </row>
        <row r="266">
          <cell r="C266">
            <v>39850</v>
          </cell>
          <cell r="D266">
            <v>232991.34</v>
          </cell>
        </row>
        <row r="267">
          <cell r="C267">
            <v>0</v>
          </cell>
          <cell r="D267">
            <v>8135.59</v>
          </cell>
        </row>
        <row r="268">
          <cell r="C268">
            <v>0</v>
          </cell>
          <cell r="D268">
            <v>0</v>
          </cell>
        </row>
        <row r="269">
          <cell r="C269">
            <v>0</v>
          </cell>
          <cell r="D269">
            <v>141795</v>
          </cell>
        </row>
        <row r="270">
          <cell r="C270">
            <v>36243.39</v>
          </cell>
        </row>
        <row r="272">
          <cell r="C272">
            <v>2131300</v>
          </cell>
          <cell r="D272">
            <v>5867300</v>
          </cell>
        </row>
        <row r="273">
          <cell r="C273">
            <v>1564000</v>
          </cell>
          <cell r="D273">
            <v>3504000</v>
          </cell>
        </row>
        <row r="274">
          <cell r="C274">
            <v>0</v>
          </cell>
          <cell r="D274">
            <v>0</v>
          </cell>
        </row>
        <row r="275">
          <cell r="C275">
            <v>193200</v>
          </cell>
          <cell r="D275">
            <v>0</v>
          </cell>
        </row>
        <row r="276">
          <cell r="C276">
            <v>1898280</v>
          </cell>
          <cell r="D276">
            <v>4348474</v>
          </cell>
        </row>
        <row r="277">
          <cell r="C277">
            <v>0</v>
          </cell>
          <cell r="D277">
            <v>102860</v>
          </cell>
        </row>
        <row r="278">
          <cell r="C278">
            <v>5679.06</v>
          </cell>
          <cell r="D278">
            <v>16435</v>
          </cell>
        </row>
        <row r="279">
          <cell r="C279">
            <v>0</v>
          </cell>
          <cell r="D279">
            <v>0</v>
          </cell>
        </row>
        <row r="281">
          <cell r="C281">
            <v>0</v>
          </cell>
          <cell r="D281">
            <v>115813.57</v>
          </cell>
        </row>
        <row r="282">
          <cell r="C282">
            <v>46798.65</v>
          </cell>
          <cell r="D282">
            <v>50905.96</v>
          </cell>
        </row>
        <row r="283">
          <cell r="C283">
            <v>4154</v>
          </cell>
          <cell r="D283">
            <v>177874.1</v>
          </cell>
        </row>
        <row r="284">
          <cell r="C284">
            <v>5379.95</v>
          </cell>
          <cell r="D284">
            <v>10407.950000000001</v>
          </cell>
        </row>
        <row r="285">
          <cell r="C285">
            <v>73066.22</v>
          </cell>
          <cell r="D285">
            <v>690042.9</v>
          </cell>
        </row>
        <row r="286">
          <cell r="C286">
            <v>0</v>
          </cell>
          <cell r="D286">
            <v>4600</v>
          </cell>
        </row>
        <row r="287">
          <cell r="C287">
            <v>13425.65</v>
          </cell>
          <cell r="D287">
            <v>140746.18</v>
          </cell>
        </row>
        <row r="288">
          <cell r="C288">
            <v>0</v>
          </cell>
          <cell r="D288">
            <v>120574.6</v>
          </cell>
        </row>
        <row r="289">
          <cell r="C289">
            <v>1295565</v>
          </cell>
          <cell r="D289">
            <v>4727717.84</v>
          </cell>
        </row>
        <row r="290">
          <cell r="C290">
            <v>0</v>
          </cell>
          <cell r="D290">
            <v>0</v>
          </cell>
        </row>
        <row r="291">
          <cell r="C291">
            <v>4625</v>
          </cell>
          <cell r="D291">
            <v>9432</v>
          </cell>
        </row>
        <row r="292">
          <cell r="C292">
            <v>0</v>
          </cell>
          <cell r="D292">
            <v>3529875.55</v>
          </cell>
        </row>
        <row r="293">
          <cell r="C293">
            <v>0</v>
          </cell>
          <cell r="D293">
            <v>0</v>
          </cell>
        </row>
        <row r="294">
          <cell r="C294">
            <v>0</v>
          </cell>
          <cell r="D294">
            <v>0</v>
          </cell>
        </row>
        <row r="295">
          <cell r="C295">
            <v>0</v>
          </cell>
          <cell r="D295">
            <v>0</v>
          </cell>
        </row>
        <row r="296">
          <cell r="C296">
            <v>4998.54</v>
          </cell>
          <cell r="D296">
            <v>14950</v>
          </cell>
        </row>
        <row r="297">
          <cell r="C297">
            <v>0</v>
          </cell>
          <cell r="D297">
            <v>0</v>
          </cell>
        </row>
        <row r="298">
          <cell r="C298">
            <v>0</v>
          </cell>
          <cell r="D298">
            <v>0</v>
          </cell>
        </row>
        <row r="299">
          <cell r="C299">
            <v>1191000</v>
          </cell>
          <cell r="D299">
            <v>1427559.49</v>
          </cell>
        </row>
        <row r="300">
          <cell r="C300">
            <v>76620.63</v>
          </cell>
          <cell r="D300">
            <v>74376.17</v>
          </cell>
        </row>
        <row r="301">
          <cell r="C301">
            <v>0</v>
          </cell>
          <cell r="D301">
            <v>0</v>
          </cell>
        </row>
        <row r="302">
          <cell r="C302">
            <v>0</v>
          </cell>
          <cell r="D302">
            <v>43650</v>
          </cell>
        </row>
        <row r="304">
          <cell r="C304">
            <v>0</v>
          </cell>
          <cell r="D304">
            <v>0</v>
          </cell>
        </row>
        <row r="305">
          <cell r="C305">
            <v>86900</v>
          </cell>
        </row>
        <row r="308">
          <cell r="C308">
            <v>0</v>
          </cell>
        </row>
        <row r="309">
          <cell r="C309">
            <v>0</v>
          </cell>
          <cell r="D309">
            <v>30000</v>
          </cell>
        </row>
        <row r="310">
          <cell r="D310">
            <v>0</v>
          </cell>
        </row>
      </sheetData>
      <sheetData sheetId="9"/>
      <sheetData sheetId="10">
        <row r="289">
          <cell r="E289">
            <v>51195285</v>
          </cell>
        </row>
        <row r="290">
          <cell r="E290">
            <v>55543832</v>
          </cell>
        </row>
        <row r="291">
          <cell r="E291">
            <v>100470000</v>
          </cell>
        </row>
        <row r="295">
          <cell r="E295">
            <v>239995000</v>
          </cell>
        </row>
      </sheetData>
      <sheetData sheetId="11"/>
      <sheetData sheetId="12">
        <row r="609">
          <cell r="C609">
            <v>557793.63</v>
          </cell>
          <cell r="D609">
            <v>656678.94999999995</v>
          </cell>
        </row>
      </sheetData>
      <sheetData sheetId="13">
        <row r="14">
          <cell r="K14">
            <v>46443109.390000008</v>
          </cell>
        </row>
        <row r="28">
          <cell r="E28">
            <v>309808868.79000002</v>
          </cell>
          <cell r="F28">
            <v>28494114.41</v>
          </cell>
          <cell r="H28">
            <v>12507481.389999999</v>
          </cell>
          <cell r="I28">
            <v>43479886.310000002</v>
          </cell>
        </row>
        <row r="29">
          <cell r="E29">
            <v>0</v>
          </cell>
          <cell r="F29">
            <v>3.4924596548080444E-10</v>
          </cell>
          <cell r="G29">
            <v>0</v>
          </cell>
          <cell r="H29">
            <v>0</v>
          </cell>
          <cell r="I29">
            <v>0</v>
          </cell>
          <cell r="K29">
            <v>3.4924596548080444E-10</v>
          </cell>
        </row>
      </sheetData>
      <sheetData sheetId="14"/>
      <sheetData sheetId="15">
        <row r="11">
          <cell r="B11">
            <v>395040845.99000001</v>
          </cell>
        </row>
        <row r="12">
          <cell r="B12">
            <v>0</v>
          </cell>
        </row>
        <row r="15">
          <cell r="B15">
            <v>12735160.02</v>
          </cell>
        </row>
        <row r="16">
          <cell r="B16">
            <v>217132.89</v>
          </cell>
        </row>
        <row r="17">
          <cell r="B17">
            <v>0</v>
          </cell>
          <cell r="C17">
            <v>0</v>
          </cell>
        </row>
        <row r="36">
          <cell r="B36">
            <v>139610.85</v>
          </cell>
        </row>
        <row r="60">
          <cell r="B60">
            <v>1203280745.9198</v>
          </cell>
          <cell r="C60">
            <v>1208456281.9498</v>
          </cell>
        </row>
      </sheetData>
      <sheetData sheetId="16">
        <row r="11">
          <cell r="B11">
            <v>75499614.459999993</v>
          </cell>
        </row>
        <row r="12">
          <cell r="B12">
            <v>43109095</v>
          </cell>
          <cell r="C12">
            <v>307209103</v>
          </cell>
        </row>
        <row r="13">
          <cell r="B13">
            <v>0</v>
          </cell>
        </row>
        <row r="17">
          <cell r="B17">
            <v>78244142.110000014</v>
          </cell>
        </row>
        <row r="18">
          <cell r="B18">
            <v>0</v>
          </cell>
        </row>
        <row r="19">
          <cell r="B19">
            <v>8932901.5600000005</v>
          </cell>
        </row>
        <row r="20">
          <cell r="B20">
            <v>86900.000000000349</v>
          </cell>
          <cell r="C20">
            <v>46530009.390000008</v>
          </cell>
        </row>
        <row r="22">
          <cell r="B22">
            <v>35929850.079999998</v>
          </cell>
        </row>
        <row r="23">
          <cell r="B23">
            <v>590451.74</v>
          </cell>
        </row>
        <row r="30">
          <cell r="C30">
            <v>120373832.36989999</v>
          </cell>
        </row>
        <row r="35">
          <cell r="B35">
            <v>-5175536.0300000161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E10">
            <v>307209103</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5">
          <cell r="D25">
            <v>3993167</v>
          </cell>
          <cell r="E25">
            <v>3993167</v>
          </cell>
          <cell r="F25">
            <v>3993167</v>
          </cell>
          <cell r="G25">
            <v>3993167</v>
          </cell>
          <cell r="H25">
            <v>3993167</v>
          </cell>
          <cell r="I25">
            <v>0</v>
          </cell>
          <cell r="J25">
            <v>0</v>
          </cell>
          <cell r="K25">
            <v>0</v>
          </cell>
          <cell r="L25">
            <v>0</v>
          </cell>
          <cell r="M25">
            <v>0</v>
          </cell>
          <cell r="N25">
            <v>0</v>
          </cell>
          <cell r="O25">
            <v>0</v>
          </cell>
        </row>
        <row r="26">
          <cell r="D26">
            <v>0</v>
          </cell>
          <cell r="E26">
            <v>0</v>
          </cell>
          <cell r="F26">
            <v>0</v>
          </cell>
          <cell r="G26">
            <v>0</v>
          </cell>
          <cell r="H26">
            <v>0</v>
          </cell>
          <cell r="I26">
            <v>0</v>
          </cell>
          <cell r="J26">
            <v>0</v>
          </cell>
          <cell r="K26">
            <v>0</v>
          </cell>
          <cell r="L26">
            <v>0</v>
          </cell>
          <cell r="M26">
            <v>0</v>
          </cell>
          <cell r="N26">
            <v>0</v>
          </cell>
          <cell r="O26">
            <v>0</v>
          </cell>
        </row>
        <row r="27">
          <cell r="D27">
            <v>4628652</v>
          </cell>
          <cell r="E27">
            <v>4628652</v>
          </cell>
          <cell r="F27">
            <v>4628652</v>
          </cell>
          <cell r="G27">
            <v>4628652</v>
          </cell>
          <cell r="H27">
            <v>4628652</v>
          </cell>
          <cell r="I27">
            <v>0</v>
          </cell>
          <cell r="J27">
            <v>0</v>
          </cell>
          <cell r="K27">
            <v>0</v>
          </cell>
          <cell r="L27">
            <v>0</v>
          </cell>
          <cell r="M27">
            <v>0</v>
          </cell>
          <cell r="N27">
            <v>0</v>
          </cell>
          <cell r="O27">
            <v>0</v>
          </cell>
        </row>
      </sheetData>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82"/>
  <sheetViews>
    <sheetView tabSelected="1" workbookViewId="0">
      <selection activeCell="N7" sqref="N7"/>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11.42578125" style="2" bestFit="1" customWidth="1"/>
    <col min="8" max="8" width="7" style="2" hidden="1" customWidth="1"/>
    <col min="9" max="9" width="31" style="2" hidden="1" customWidth="1"/>
    <col min="10" max="10" width="5.28515625" style="3" customWidth="1"/>
    <col min="11" max="11" width="17.5703125" style="3" hidden="1" customWidth="1"/>
    <col min="12" max="13" width="5.28515625" style="2" hidden="1"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4.7109375" style="4" customWidth="1"/>
    <col min="20" max="22" width="4" style="4" bestFit="1" customWidth="1"/>
    <col min="23" max="23" width="7"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11.42578125" style="2" bestFit="1" customWidth="1"/>
    <col min="264" max="265" width="0" style="2" hidden="1" customWidth="1"/>
    <col min="266" max="266" width="5.28515625" style="2" customWidth="1"/>
    <col min="267" max="269" width="0" style="2" hidden="1" customWidth="1"/>
    <col min="270" max="270" width="5.28515625" style="2" customWidth="1"/>
    <col min="271" max="273" width="0" style="2" hidden="1" customWidth="1"/>
    <col min="274" max="274" width="15" style="2" bestFit="1" customWidth="1"/>
    <col min="275" max="275" width="14.7109375" style="2" customWidth="1"/>
    <col min="276" max="278" width="4" style="2" bestFit="1" customWidth="1"/>
    <col min="279" max="279" width="7"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11.42578125" style="2" bestFit="1" customWidth="1"/>
    <col min="520" max="521" width="0" style="2" hidden="1" customWidth="1"/>
    <col min="522" max="522" width="5.28515625" style="2" customWidth="1"/>
    <col min="523" max="525" width="0" style="2" hidden="1" customWidth="1"/>
    <col min="526" max="526" width="5.28515625" style="2" customWidth="1"/>
    <col min="527" max="529" width="0" style="2" hidden="1" customWidth="1"/>
    <col min="530" max="530" width="15" style="2" bestFit="1" customWidth="1"/>
    <col min="531" max="531" width="14.7109375" style="2" customWidth="1"/>
    <col min="532" max="534" width="4" style="2" bestFit="1" customWidth="1"/>
    <col min="535" max="535" width="7"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11.42578125" style="2" bestFit="1" customWidth="1"/>
    <col min="776" max="777" width="0" style="2" hidden="1" customWidth="1"/>
    <col min="778" max="778" width="5.28515625" style="2" customWidth="1"/>
    <col min="779" max="781" width="0" style="2" hidden="1" customWidth="1"/>
    <col min="782" max="782" width="5.28515625" style="2" customWidth="1"/>
    <col min="783" max="785" width="0" style="2" hidden="1" customWidth="1"/>
    <col min="786" max="786" width="15" style="2" bestFit="1" customWidth="1"/>
    <col min="787" max="787" width="14.7109375" style="2" customWidth="1"/>
    <col min="788" max="790" width="4" style="2" bestFit="1" customWidth="1"/>
    <col min="791" max="791" width="7"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11.42578125" style="2" bestFit="1" customWidth="1"/>
    <col min="1032" max="1033" width="0" style="2" hidden="1" customWidth="1"/>
    <col min="1034" max="1034" width="5.28515625" style="2" customWidth="1"/>
    <col min="1035" max="1037" width="0" style="2" hidden="1" customWidth="1"/>
    <col min="1038" max="1038" width="5.28515625" style="2" customWidth="1"/>
    <col min="1039" max="1041" width="0" style="2" hidden="1" customWidth="1"/>
    <col min="1042" max="1042" width="15" style="2" bestFit="1" customWidth="1"/>
    <col min="1043" max="1043" width="14.7109375" style="2" customWidth="1"/>
    <col min="1044" max="1046" width="4" style="2" bestFit="1" customWidth="1"/>
    <col min="1047" max="1047" width="7"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11.42578125" style="2" bestFit="1" customWidth="1"/>
    <col min="1288" max="1289" width="0" style="2" hidden="1" customWidth="1"/>
    <col min="1290" max="1290" width="5.28515625" style="2" customWidth="1"/>
    <col min="1291" max="1293" width="0" style="2" hidden="1" customWidth="1"/>
    <col min="1294" max="1294" width="5.28515625" style="2" customWidth="1"/>
    <col min="1295" max="1297" width="0" style="2" hidden="1" customWidth="1"/>
    <col min="1298" max="1298" width="15" style="2" bestFit="1" customWidth="1"/>
    <col min="1299" max="1299" width="14.7109375" style="2" customWidth="1"/>
    <col min="1300" max="1302" width="4" style="2" bestFit="1" customWidth="1"/>
    <col min="1303" max="1303" width="7"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11.42578125" style="2" bestFit="1" customWidth="1"/>
    <col min="1544" max="1545" width="0" style="2" hidden="1" customWidth="1"/>
    <col min="1546" max="1546" width="5.28515625" style="2" customWidth="1"/>
    <col min="1547" max="1549" width="0" style="2" hidden="1" customWidth="1"/>
    <col min="1550" max="1550" width="5.28515625" style="2" customWidth="1"/>
    <col min="1551" max="1553" width="0" style="2" hidden="1" customWidth="1"/>
    <col min="1554" max="1554" width="15" style="2" bestFit="1" customWidth="1"/>
    <col min="1555" max="1555" width="14.7109375" style="2" customWidth="1"/>
    <col min="1556" max="1558" width="4" style="2" bestFit="1" customWidth="1"/>
    <col min="1559" max="1559" width="7"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11.42578125" style="2" bestFit="1" customWidth="1"/>
    <col min="1800" max="1801" width="0" style="2" hidden="1" customWidth="1"/>
    <col min="1802" max="1802" width="5.28515625" style="2" customWidth="1"/>
    <col min="1803" max="1805" width="0" style="2" hidden="1" customWidth="1"/>
    <col min="1806" max="1806" width="5.28515625" style="2" customWidth="1"/>
    <col min="1807" max="1809" width="0" style="2" hidden="1" customWidth="1"/>
    <col min="1810" max="1810" width="15" style="2" bestFit="1" customWidth="1"/>
    <col min="1811" max="1811" width="14.7109375" style="2" customWidth="1"/>
    <col min="1812" max="1814" width="4" style="2" bestFit="1" customWidth="1"/>
    <col min="1815" max="1815" width="7"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11.42578125" style="2" bestFit="1" customWidth="1"/>
    <col min="2056" max="2057" width="0" style="2" hidden="1" customWidth="1"/>
    <col min="2058" max="2058" width="5.28515625" style="2" customWidth="1"/>
    <col min="2059" max="2061" width="0" style="2" hidden="1" customWidth="1"/>
    <col min="2062" max="2062" width="5.28515625" style="2" customWidth="1"/>
    <col min="2063" max="2065" width="0" style="2" hidden="1" customWidth="1"/>
    <col min="2066" max="2066" width="15" style="2" bestFit="1" customWidth="1"/>
    <col min="2067" max="2067" width="14.7109375" style="2" customWidth="1"/>
    <col min="2068" max="2070" width="4" style="2" bestFit="1" customWidth="1"/>
    <col min="2071" max="2071" width="7"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11.42578125" style="2" bestFit="1" customWidth="1"/>
    <col min="2312" max="2313" width="0" style="2" hidden="1" customWidth="1"/>
    <col min="2314" max="2314" width="5.28515625" style="2" customWidth="1"/>
    <col min="2315" max="2317" width="0" style="2" hidden="1" customWidth="1"/>
    <col min="2318" max="2318" width="5.28515625" style="2" customWidth="1"/>
    <col min="2319" max="2321" width="0" style="2" hidden="1" customWidth="1"/>
    <col min="2322" max="2322" width="15" style="2" bestFit="1" customWidth="1"/>
    <col min="2323" max="2323" width="14.7109375" style="2" customWidth="1"/>
    <col min="2324" max="2326" width="4" style="2" bestFit="1" customWidth="1"/>
    <col min="2327" max="2327" width="7"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11.42578125" style="2" bestFit="1" customWidth="1"/>
    <col min="2568" max="2569" width="0" style="2" hidden="1" customWidth="1"/>
    <col min="2570" max="2570" width="5.28515625" style="2" customWidth="1"/>
    <col min="2571" max="2573" width="0" style="2" hidden="1" customWidth="1"/>
    <col min="2574" max="2574" width="5.28515625" style="2" customWidth="1"/>
    <col min="2575" max="2577" width="0" style="2" hidden="1" customWidth="1"/>
    <col min="2578" max="2578" width="15" style="2" bestFit="1" customWidth="1"/>
    <col min="2579" max="2579" width="14.7109375" style="2" customWidth="1"/>
    <col min="2580" max="2582" width="4" style="2" bestFit="1" customWidth="1"/>
    <col min="2583" max="2583" width="7"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11.42578125" style="2" bestFit="1" customWidth="1"/>
    <col min="2824" max="2825" width="0" style="2" hidden="1" customWidth="1"/>
    <col min="2826" max="2826" width="5.28515625" style="2" customWidth="1"/>
    <col min="2827" max="2829" width="0" style="2" hidden="1" customWidth="1"/>
    <col min="2830" max="2830" width="5.28515625" style="2" customWidth="1"/>
    <col min="2831" max="2833" width="0" style="2" hidden="1" customWidth="1"/>
    <col min="2834" max="2834" width="15" style="2" bestFit="1" customWidth="1"/>
    <col min="2835" max="2835" width="14.7109375" style="2" customWidth="1"/>
    <col min="2836" max="2838" width="4" style="2" bestFit="1" customWidth="1"/>
    <col min="2839" max="2839" width="7"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11.42578125" style="2" bestFit="1" customWidth="1"/>
    <col min="3080" max="3081" width="0" style="2" hidden="1" customWidth="1"/>
    <col min="3082" max="3082" width="5.28515625" style="2" customWidth="1"/>
    <col min="3083" max="3085" width="0" style="2" hidden="1" customWidth="1"/>
    <col min="3086" max="3086" width="5.28515625" style="2" customWidth="1"/>
    <col min="3087" max="3089" width="0" style="2" hidden="1" customWidth="1"/>
    <col min="3090" max="3090" width="15" style="2" bestFit="1" customWidth="1"/>
    <col min="3091" max="3091" width="14.7109375" style="2" customWidth="1"/>
    <col min="3092" max="3094" width="4" style="2" bestFit="1" customWidth="1"/>
    <col min="3095" max="3095" width="7"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11.42578125" style="2" bestFit="1" customWidth="1"/>
    <col min="3336" max="3337" width="0" style="2" hidden="1" customWidth="1"/>
    <col min="3338" max="3338" width="5.28515625" style="2" customWidth="1"/>
    <col min="3339" max="3341" width="0" style="2" hidden="1" customWidth="1"/>
    <col min="3342" max="3342" width="5.28515625" style="2" customWidth="1"/>
    <col min="3343" max="3345" width="0" style="2" hidden="1" customWidth="1"/>
    <col min="3346" max="3346" width="15" style="2" bestFit="1" customWidth="1"/>
    <col min="3347" max="3347" width="14.7109375" style="2" customWidth="1"/>
    <col min="3348" max="3350" width="4" style="2" bestFit="1" customWidth="1"/>
    <col min="3351" max="3351" width="7"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11.42578125" style="2" bestFit="1" customWidth="1"/>
    <col min="3592" max="3593" width="0" style="2" hidden="1" customWidth="1"/>
    <col min="3594" max="3594" width="5.28515625" style="2" customWidth="1"/>
    <col min="3595" max="3597" width="0" style="2" hidden="1" customWidth="1"/>
    <col min="3598" max="3598" width="5.28515625" style="2" customWidth="1"/>
    <col min="3599" max="3601" width="0" style="2" hidden="1" customWidth="1"/>
    <col min="3602" max="3602" width="15" style="2" bestFit="1" customWidth="1"/>
    <col min="3603" max="3603" width="14.7109375" style="2" customWidth="1"/>
    <col min="3604" max="3606" width="4" style="2" bestFit="1" customWidth="1"/>
    <col min="3607" max="3607" width="7"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11.42578125" style="2" bestFit="1" customWidth="1"/>
    <col min="3848" max="3849" width="0" style="2" hidden="1" customWidth="1"/>
    <col min="3850" max="3850" width="5.28515625" style="2" customWidth="1"/>
    <col min="3851" max="3853" width="0" style="2" hidden="1" customWidth="1"/>
    <col min="3854" max="3854" width="5.28515625" style="2" customWidth="1"/>
    <col min="3855" max="3857" width="0" style="2" hidden="1" customWidth="1"/>
    <col min="3858" max="3858" width="15" style="2" bestFit="1" customWidth="1"/>
    <col min="3859" max="3859" width="14.7109375" style="2" customWidth="1"/>
    <col min="3860" max="3862" width="4" style="2" bestFit="1" customWidth="1"/>
    <col min="3863" max="3863" width="7"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11.42578125" style="2" bestFit="1" customWidth="1"/>
    <col min="4104" max="4105" width="0" style="2" hidden="1" customWidth="1"/>
    <col min="4106" max="4106" width="5.28515625" style="2" customWidth="1"/>
    <col min="4107" max="4109" width="0" style="2" hidden="1" customWidth="1"/>
    <col min="4110" max="4110" width="5.28515625" style="2" customWidth="1"/>
    <col min="4111" max="4113" width="0" style="2" hidden="1" customWidth="1"/>
    <col min="4114" max="4114" width="15" style="2" bestFit="1" customWidth="1"/>
    <col min="4115" max="4115" width="14.7109375" style="2" customWidth="1"/>
    <col min="4116" max="4118" width="4" style="2" bestFit="1" customWidth="1"/>
    <col min="4119" max="4119" width="7"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11.42578125" style="2" bestFit="1" customWidth="1"/>
    <col min="4360" max="4361" width="0" style="2" hidden="1" customWidth="1"/>
    <col min="4362" max="4362" width="5.28515625" style="2" customWidth="1"/>
    <col min="4363" max="4365" width="0" style="2" hidden="1" customWidth="1"/>
    <col min="4366" max="4366" width="5.28515625" style="2" customWidth="1"/>
    <col min="4367" max="4369" width="0" style="2" hidden="1" customWidth="1"/>
    <col min="4370" max="4370" width="15" style="2" bestFit="1" customWidth="1"/>
    <col min="4371" max="4371" width="14.7109375" style="2" customWidth="1"/>
    <col min="4372" max="4374" width="4" style="2" bestFit="1" customWidth="1"/>
    <col min="4375" max="4375" width="7"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11.42578125" style="2" bestFit="1" customWidth="1"/>
    <col min="4616" max="4617" width="0" style="2" hidden="1" customWidth="1"/>
    <col min="4618" max="4618" width="5.28515625" style="2" customWidth="1"/>
    <col min="4619" max="4621" width="0" style="2" hidden="1" customWidth="1"/>
    <col min="4622" max="4622" width="5.28515625" style="2" customWidth="1"/>
    <col min="4623" max="4625" width="0" style="2" hidden="1" customWidth="1"/>
    <col min="4626" max="4626" width="15" style="2" bestFit="1" customWidth="1"/>
    <col min="4627" max="4627" width="14.7109375" style="2" customWidth="1"/>
    <col min="4628" max="4630" width="4" style="2" bestFit="1" customWidth="1"/>
    <col min="4631" max="4631" width="7"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11.42578125" style="2" bestFit="1" customWidth="1"/>
    <col min="4872" max="4873" width="0" style="2" hidden="1" customWidth="1"/>
    <col min="4874" max="4874" width="5.28515625" style="2" customWidth="1"/>
    <col min="4875" max="4877" width="0" style="2" hidden="1" customWidth="1"/>
    <col min="4878" max="4878" width="5.28515625" style="2" customWidth="1"/>
    <col min="4879" max="4881" width="0" style="2" hidden="1" customWidth="1"/>
    <col min="4882" max="4882" width="15" style="2" bestFit="1" customWidth="1"/>
    <col min="4883" max="4883" width="14.7109375" style="2" customWidth="1"/>
    <col min="4884" max="4886" width="4" style="2" bestFit="1" customWidth="1"/>
    <col min="4887" max="4887" width="7"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11.42578125" style="2" bestFit="1" customWidth="1"/>
    <col min="5128" max="5129" width="0" style="2" hidden="1" customWidth="1"/>
    <col min="5130" max="5130" width="5.28515625" style="2" customWidth="1"/>
    <col min="5131" max="5133" width="0" style="2" hidden="1" customWidth="1"/>
    <col min="5134" max="5134" width="5.28515625" style="2" customWidth="1"/>
    <col min="5135" max="5137" width="0" style="2" hidden="1" customWidth="1"/>
    <col min="5138" max="5138" width="15" style="2" bestFit="1" customWidth="1"/>
    <col min="5139" max="5139" width="14.7109375" style="2" customWidth="1"/>
    <col min="5140" max="5142" width="4" style="2" bestFit="1" customWidth="1"/>
    <col min="5143" max="5143" width="7"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11.42578125" style="2" bestFit="1" customWidth="1"/>
    <col min="5384" max="5385" width="0" style="2" hidden="1" customWidth="1"/>
    <col min="5386" max="5386" width="5.28515625" style="2" customWidth="1"/>
    <col min="5387" max="5389" width="0" style="2" hidden="1" customWidth="1"/>
    <col min="5390" max="5390" width="5.28515625" style="2" customWidth="1"/>
    <col min="5391" max="5393" width="0" style="2" hidden="1" customWidth="1"/>
    <col min="5394" max="5394" width="15" style="2" bestFit="1" customWidth="1"/>
    <col min="5395" max="5395" width="14.7109375" style="2" customWidth="1"/>
    <col min="5396" max="5398" width="4" style="2" bestFit="1" customWidth="1"/>
    <col min="5399" max="5399" width="7"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11.42578125" style="2" bestFit="1" customWidth="1"/>
    <col min="5640" max="5641" width="0" style="2" hidden="1" customWidth="1"/>
    <col min="5642" max="5642" width="5.28515625" style="2" customWidth="1"/>
    <col min="5643" max="5645" width="0" style="2" hidden="1" customWidth="1"/>
    <col min="5646" max="5646" width="5.28515625" style="2" customWidth="1"/>
    <col min="5647" max="5649" width="0" style="2" hidden="1" customWidth="1"/>
    <col min="5650" max="5650" width="15" style="2" bestFit="1" customWidth="1"/>
    <col min="5651" max="5651" width="14.7109375" style="2" customWidth="1"/>
    <col min="5652" max="5654" width="4" style="2" bestFit="1" customWidth="1"/>
    <col min="5655" max="5655" width="7"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11.42578125" style="2" bestFit="1" customWidth="1"/>
    <col min="5896" max="5897" width="0" style="2" hidden="1" customWidth="1"/>
    <col min="5898" max="5898" width="5.28515625" style="2" customWidth="1"/>
    <col min="5899" max="5901" width="0" style="2" hidden="1" customWidth="1"/>
    <col min="5902" max="5902" width="5.28515625" style="2" customWidth="1"/>
    <col min="5903" max="5905" width="0" style="2" hidden="1" customWidth="1"/>
    <col min="5906" max="5906" width="15" style="2" bestFit="1" customWidth="1"/>
    <col min="5907" max="5907" width="14.7109375" style="2" customWidth="1"/>
    <col min="5908" max="5910" width="4" style="2" bestFit="1" customWidth="1"/>
    <col min="5911" max="5911" width="7"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11.42578125" style="2" bestFit="1" customWidth="1"/>
    <col min="6152" max="6153" width="0" style="2" hidden="1" customWidth="1"/>
    <col min="6154" max="6154" width="5.28515625" style="2" customWidth="1"/>
    <col min="6155" max="6157" width="0" style="2" hidden="1" customWidth="1"/>
    <col min="6158" max="6158" width="5.28515625" style="2" customWidth="1"/>
    <col min="6159" max="6161" width="0" style="2" hidden="1" customWidth="1"/>
    <col min="6162" max="6162" width="15" style="2" bestFit="1" customWidth="1"/>
    <col min="6163" max="6163" width="14.7109375" style="2" customWidth="1"/>
    <col min="6164" max="6166" width="4" style="2" bestFit="1" customWidth="1"/>
    <col min="6167" max="6167" width="7"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11.42578125" style="2" bestFit="1" customWidth="1"/>
    <col min="6408" max="6409" width="0" style="2" hidden="1" customWidth="1"/>
    <col min="6410" max="6410" width="5.28515625" style="2" customWidth="1"/>
    <col min="6411" max="6413" width="0" style="2" hidden="1" customWidth="1"/>
    <col min="6414" max="6414" width="5.28515625" style="2" customWidth="1"/>
    <col min="6415" max="6417" width="0" style="2" hidden="1" customWidth="1"/>
    <col min="6418" max="6418" width="15" style="2" bestFit="1" customWidth="1"/>
    <col min="6419" max="6419" width="14.7109375" style="2" customWidth="1"/>
    <col min="6420" max="6422" width="4" style="2" bestFit="1" customWidth="1"/>
    <col min="6423" max="6423" width="7"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11.42578125" style="2" bestFit="1" customWidth="1"/>
    <col min="6664" max="6665" width="0" style="2" hidden="1" customWidth="1"/>
    <col min="6666" max="6666" width="5.28515625" style="2" customWidth="1"/>
    <col min="6667" max="6669" width="0" style="2" hidden="1" customWidth="1"/>
    <col min="6670" max="6670" width="5.28515625" style="2" customWidth="1"/>
    <col min="6671" max="6673" width="0" style="2" hidden="1" customWidth="1"/>
    <col min="6674" max="6674" width="15" style="2" bestFit="1" customWidth="1"/>
    <col min="6675" max="6675" width="14.7109375" style="2" customWidth="1"/>
    <col min="6676" max="6678" width="4" style="2" bestFit="1" customWidth="1"/>
    <col min="6679" max="6679" width="7"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11.42578125" style="2" bestFit="1" customWidth="1"/>
    <col min="6920" max="6921" width="0" style="2" hidden="1" customWidth="1"/>
    <col min="6922" max="6922" width="5.28515625" style="2" customWidth="1"/>
    <col min="6923" max="6925" width="0" style="2" hidden="1" customWidth="1"/>
    <col min="6926" max="6926" width="5.28515625" style="2" customWidth="1"/>
    <col min="6927" max="6929" width="0" style="2" hidden="1" customWidth="1"/>
    <col min="6930" max="6930" width="15" style="2" bestFit="1" customWidth="1"/>
    <col min="6931" max="6931" width="14.7109375" style="2" customWidth="1"/>
    <col min="6932" max="6934" width="4" style="2" bestFit="1" customWidth="1"/>
    <col min="6935" max="6935" width="7"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11.42578125" style="2" bestFit="1" customWidth="1"/>
    <col min="7176" max="7177" width="0" style="2" hidden="1" customWidth="1"/>
    <col min="7178" max="7178" width="5.28515625" style="2" customWidth="1"/>
    <col min="7179" max="7181" width="0" style="2" hidden="1" customWidth="1"/>
    <col min="7182" max="7182" width="5.28515625" style="2" customWidth="1"/>
    <col min="7183" max="7185" width="0" style="2" hidden="1" customWidth="1"/>
    <col min="7186" max="7186" width="15" style="2" bestFit="1" customWidth="1"/>
    <col min="7187" max="7187" width="14.7109375" style="2" customWidth="1"/>
    <col min="7188" max="7190" width="4" style="2" bestFit="1" customWidth="1"/>
    <col min="7191" max="7191" width="7"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11.42578125" style="2" bestFit="1" customWidth="1"/>
    <col min="7432" max="7433" width="0" style="2" hidden="1" customWidth="1"/>
    <col min="7434" max="7434" width="5.28515625" style="2" customWidth="1"/>
    <col min="7435" max="7437" width="0" style="2" hidden="1" customWidth="1"/>
    <col min="7438" max="7438" width="5.28515625" style="2" customWidth="1"/>
    <col min="7439" max="7441" width="0" style="2" hidden="1" customWidth="1"/>
    <col min="7442" max="7442" width="15" style="2" bestFit="1" customWidth="1"/>
    <col min="7443" max="7443" width="14.7109375" style="2" customWidth="1"/>
    <col min="7444" max="7446" width="4" style="2" bestFit="1" customWidth="1"/>
    <col min="7447" max="7447" width="7"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11.42578125" style="2" bestFit="1" customWidth="1"/>
    <col min="7688" max="7689" width="0" style="2" hidden="1" customWidth="1"/>
    <col min="7690" max="7690" width="5.28515625" style="2" customWidth="1"/>
    <col min="7691" max="7693" width="0" style="2" hidden="1" customWidth="1"/>
    <col min="7694" max="7694" width="5.28515625" style="2" customWidth="1"/>
    <col min="7695" max="7697" width="0" style="2" hidden="1" customWidth="1"/>
    <col min="7698" max="7698" width="15" style="2" bestFit="1" customWidth="1"/>
    <col min="7699" max="7699" width="14.7109375" style="2" customWidth="1"/>
    <col min="7700" max="7702" width="4" style="2" bestFit="1" customWidth="1"/>
    <col min="7703" max="7703" width="7"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11.42578125" style="2" bestFit="1" customWidth="1"/>
    <col min="7944" max="7945" width="0" style="2" hidden="1" customWidth="1"/>
    <col min="7946" max="7946" width="5.28515625" style="2" customWidth="1"/>
    <col min="7947" max="7949" width="0" style="2" hidden="1" customWidth="1"/>
    <col min="7950" max="7950" width="5.28515625" style="2" customWidth="1"/>
    <col min="7951" max="7953" width="0" style="2" hidden="1" customWidth="1"/>
    <col min="7954" max="7954" width="15" style="2" bestFit="1" customWidth="1"/>
    <col min="7955" max="7955" width="14.7109375" style="2" customWidth="1"/>
    <col min="7956" max="7958" width="4" style="2" bestFit="1" customWidth="1"/>
    <col min="7959" max="7959" width="7"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11.42578125" style="2" bestFit="1" customWidth="1"/>
    <col min="8200" max="8201" width="0" style="2" hidden="1" customWidth="1"/>
    <col min="8202" max="8202" width="5.28515625" style="2" customWidth="1"/>
    <col min="8203" max="8205" width="0" style="2" hidden="1" customWidth="1"/>
    <col min="8206" max="8206" width="5.28515625" style="2" customWidth="1"/>
    <col min="8207" max="8209" width="0" style="2" hidden="1" customWidth="1"/>
    <col min="8210" max="8210" width="15" style="2" bestFit="1" customWidth="1"/>
    <col min="8211" max="8211" width="14.7109375" style="2" customWidth="1"/>
    <col min="8212" max="8214" width="4" style="2" bestFit="1" customWidth="1"/>
    <col min="8215" max="8215" width="7"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11.42578125" style="2" bestFit="1" customWidth="1"/>
    <col min="8456" max="8457" width="0" style="2" hidden="1" customWidth="1"/>
    <col min="8458" max="8458" width="5.28515625" style="2" customWidth="1"/>
    <col min="8459" max="8461" width="0" style="2" hidden="1" customWidth="1"/>
    <col min="8462" max="8462" width="5.28515625" style="2" customWidth="1"/>
    <col min="8463" max="8465" width="0" style="2" hidden="1" customWidth="1"/>
    <col min="8466" max="8466" width="15" style="2" bestFit="1" customWidth="1"/>
    <col min="8467" max="8467" width="14.7109375" style="2" customWidth="1"/>
    <col min="8468" max="8470" width="4" style="2" bestFit="1" customWidth="1"/>
    <col min="8471" max="8471" width="7"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11.42578125" style="2" bestFit="1" customWidth="1"/>
    <col min="8712" max="8713" width="0" style="2" hidden="1" customWidth="1"/>
    <col min="8714" max="8714" width="5.28515625" style="2" customWidth="1"/>
    <col min="8715" max="8717" width="0" style="2" hidden="1" customWidth="1"/>
    <col min="8718" max="8718" width="5.28515625" style="2" customWidth="1"/>
    <col min="8719" max="8721" width="0" style="2" hidden="1" customWidth="1"/>
    <col min="8722" max="8722" width="15" style="2" bestFit="1" customWidth="1"/>
    <col min="8723" max="8723" width="14.7109375" style="2" customWidth="1"/>
    <col min="8724" max="8726" width="4" style="2" bestFit="1" customWidth="1"/>
    <col min="8727" max="8727" width="7"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11.42578125" style="2" bestFit="1" customWidth="1"/>
    <col min="8968" max="8969" width="0" style="2" hidden="1" customWidth="1"/>
    <col min="8970" max="8970" width="5.28515625" style="2" customWidth="1"/>
    <col min="8971" max="8973" width="0" style="2" hidden="1" customWidth="1"/>
    <col min="8974" max="8974" width="5.28515625" style="2" customWidth="1"/>
    <col min="8975" max="8977" width="0" style="2" hidden="1" customWidth="1"/>
    <col min="8978" max="8978" width="15" style="2" bestFit="1" customWidth="1"/>
    <col min="8979" max="8979" width="14.7109375" style="2" customWidth="1"/>
    <col min="8980" max="8982" width="4" style="2" bestFit="1" customWidth="1"/>
    <col min="8983" max="8983" width="7"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11.42578125" style="2" bestFit="1" customWidth="1"/>
    <col min="9224" max="9225" width="0" style="2" hidden="1" customWidth="1"/>
    <col min="9226" max="9226" width="5.28515625" style="2" customWidth="1"/>
    <col min="9227" max="9229" width="0" style="2" hidden="1" customWidth="1"/>
    <col min="9230" max="9230" width="5.28515625" style="2" customWidth="1"/>
    <col min="9231" max="9233" width="0" style="2" hidden="1" customWidth="1"/>
    <col min="9234" max="9234" width="15" style="2" bestFit="1" customWidth="1"/>
    <col min="9235" max="9235" width="14.7109375" style="2" customWidth="1"/>
    <col min="9236" max="9238" width="4" style="2" bestFit="1" customWidth="1"/>
    <col min="9239" max="9239" width="7"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11.42578125" style="2" bestFit="1" customWidth="1"/>
    <col min="9480" max="9481" width="0" style="2" hidden="1" customWidth="1"/>
    <col min="9482" max="9482" width="5.28515625" style="2" customWidth="1"/>
    <col min="9483" max="9485" width="0" style="2" hidden="1" customWidth="1"/>
    <col min="9486" max="9486" width="5.28515625" style="2" customWidth="1"/>
    <col min="9487" max="9489" width="0" style="2" hidden="1" customWidth="1"/>
    <col min="9490" max="9490" width="15" style="2" bestFit="1" customWidth="1"/>
    <col min="9491" max="9491" width="14.7109375" style="2" customWidth="1"/>
    <col min="9492" max="9494" width="4" style="2" bestFit="1" customWidth="1"/>
    <col min="9495" max="9495" width="7"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11.42578125" style="2" bestFit="1" customWidth="1"/>
    <col min="9736" max="9737" width="0" style="2" hidden="1" customWidth="1"/>
    <col min="9738" max="9738" width="5.28515625" style="2" customWidth="1"/>
    <col min="9739" max="9741" width="0" style="2" hidden="1" customWidth="1"/>
    <col min="9742" max="9742" width="5.28515625" style="2" customWidth="1"/>
    <col min="9743" max="9745" width="0" style="2" hidden="1" customWidth="1"/>
    <col min="9746" max="9746" width="15" style="2" bestFit="1" customWidth="1"/>
    <col min="9747" max="9747" width="14.7109375" style="2" customWidth="1"/>
    <col min="9748" max="9750" width="4" style="2" bestFit="1" customWidth="1"/>
    <col min="9751" max="9751" width="7"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11.42578125" style="2" bestFit="1" customWidth="1"/>
    <col min="9992" max="9993" width="0" style="2" hidden="1" customWidth="1"/>
    <col min="9994" max="9994" width="5.28515625" style="2" customWidth="1"/>
    <col min="9995" max="9997" width="0" style="2" hidden="1" customWidth="1"/>
    <col min="9998" max="9998" width="5.28515625" style="2" customWidth="1"/>
    <col min="9999" max="10001" width="0" style="2" hidden="1" customWidth="1"/>
    <col min="10002" max="10002" width="15" style="2" bestFit="1" customWidth="1"/>
    <col min="10003" max="10003" width="14.7109375" style="2" customWidth="1"/>
    <col min="10004" max="10006" width="4" style="2" bestFit="1" customWidth="1"/>
    <col min="10007" max="10007" width="7"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11.42578125" style="2" bestFit="1" customWidth="1"/>
    <col min="10248" max="10249" width="0" style="2" hidden="1" customWidth="1"/>
    <col min="10250" max="10250" width="5.28515625" style="2" customWidth="1"/>
    <col min="10251" max="10253" width="0" style="2" hidden="1" customWidth="1"/>
    <col min="10254" max="10254" width="5.28515625" style="2" customWidth="1"/>
    <col min="10255" max="10257" width="0" style="2" hidden="1" customWidth="1"/>
    <col min="10258" max="10258" width="15" style="2" bestFit="1" customWidth="1"/>
    <col min="10259" max="10259" width="14.7109375" style="2" customWidth="1"/>
    <col min="10260" max="10262" width="4" style="2" bestFit="1" customWidth="1"/>
    <col min="10263" max="10263" width="7"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11.42578125" style="2" bestFit="1" customWidth="1"/>
    <col min="10504" max="10505" width="0" style="2" hidden="1" customWidth="1"/>
    <col min="10506" max="10506" width="5.28515625" style="2" customWidth="1"/>
    <col min="10507" max="10509" width="0" style="2" hidden="1" customWidth="1"/>
    <col min="10510" max="10510" width="5.28515625" style="2" customWidth="1"/>
    <col min="10511" max="10513" width="0" style="2" hidden="1" customWidth="1"/>
    <col min="10514" max="10514" width="15" style="2" bestFit="1" customWidth="1"/>
    <col min="10515" max="10515" width="14.7109375" style="2" customWidth="1"/>
    <col min="10516" max="10518" width="4" style="2" bestFit="1" customWidth="1"/>
    <col min="10519" max="10519" width="7"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11.42578125" style="2" bestFit="1" customWidth="1"/>
    <col min="10760" max="10761" width="0" style="2" hidden="1" customWidth="1"/>
    <col min="10762" max="10762" width="5.28515625" style="2" customWidth="1"/>
    <col min="10763" max="10765" width="0" style="2" hidden="1" customWidth="1"/>
    <col min="10766" max="10766" width="5.28515625" style="2" customWidth="1"/>
    <col min="10767" max="10769" width="0" style="2" hidden="1" customWidth="1"/>
    <col min="10770" max="10770" width="15" style="2" bestFit="1" customWidth="1"/>
    <col min="10771" max="10771" width="14.7109375" style="2" customWidth="1"/>
    <col min="10772" max="10774" width="4" style="2" bestFit="1" customWidth="1"/>
    <col min="10775" max="10775" width="7"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11.42578125" style="2" bestFit="1" customWidth="1"/>
    <col min="11016" max="11017" width="0" style="2" hidden="1" customWidth="1"/>
    <col min="11018" max="11018" width="5.28515625" style="2" customWidth="1"/>
    <col min="11019" max="11021" width="0" style="2" hidden="1" customWidth="1"/>
    <col min="11022" max="11022" width="5.28515625" style="2" customWidth="1"/>
    <col min="11023" max="11025" width="0" style="2" hidden="1" customWidth="1"/>
    <col min="11026" max="11026" width="15" style="2" bestFit="1" customWidth="1"/>
    <col min="11027" max="11027" width="14.7109375" style="2" customWidth="1"/>
    <col min="11028" max="11030" width="4" style="2" bestFit="1" customWidth="1"/>
    <col min="11031" max="11031" width="7"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11.42578125" style="2" bestFit="1" customWidth="1"/>
    <col min="11272" max="11273" width="0" style="2" hidden="1" customWidth="1"/>
    <col min="11274" max="11274" width="5.28515625" style="2" customWidth="1"/>
    <col min="11275" max="11277" width="0" style="2" hidden="1" customWidth="1"/>
    <col min="11278" max="11278" width="5.28515625" style="2" customWidth="1"/>
    <col min="11279" max="11281" width="0" style="2" hidden="1" customWidth="1"/>
    <col min="11282" max="11282" width="15" style="2" bestFit="1" customWidth="1"/>
    <col min="11283" max="11283" width="14.7109375" style="2" customWidth="1"/>
    <col min="11284" max="11286" width="4" style="2" bestFit="1" customWidth="1"/>
    <col min="11287" max="11287" width="7"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11.42578125" style="2" bestFit="1" customWidth="1"/>
    <col min="11528" max="11529" width="0" style="2" hidden="1" customWidth="1"/>
    <col min="11530" max="11530" width="5.28515625" style="2" customWidth="1"/>
    <col min="11531" max="11533" width="0" style="2" hidden="1" customWidth="1"/>
    <col min="11534" max="11534" width="5.28515625" style="2" customWidth="1"/>
    <col min="11535" max="11537" width="0" style="2" hidden="1" customWidth="1"/>
    <col min="11538" max="11538" width="15" style="2" bestFit="1" customWidth="1"/>
    <col min="11539" max="11539" width="14.7109375" style="2" customWidth="1"/>
    <col min="11540" max="11542" width="4" style="2" bestFit="1" customWidth="1"/>
    <col min="11543" max="11543" width="7"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11.42578125" style="2" bestFit="1" customWidth="1"/>
    <col min="11784" max="11785" width="0" style="2" hidden="1" customWidth="1"/>
    <col min="11786" max="11786" width="5.28515625" style="2" customWidth="1"/>
    <col min="11787" max="11789" width="0" style="2" hidden="1" customWidth="1"/>
    <col min="11790" max="11790" width="5.28515625" style="2" customWidth="1"/>
    <col min="11791" max="11793" width="0" style="2" hidden="1" customWidth="1"/>
    <col min="11794" max="11794" width="15" style="2" bestFit="1" customWidth="1"/>
    <col min="11795" max="11795" width="14.7109375" style="2" customWidth="1"/>
    <col min="11796" max="11798" width="4" style="2" bestFit="1" customWidth="1"/>
    <col min="11799" max="11799" width="7"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11.42578125" style="2" bestFit="1" customWidth="1"/>
    <col min="12040" max="12041" width="0" style="2" hidden="1" customWidth="1"/>
    <col min="12042" max="12042" width="5.28515625" style="2" customWidth="1"/>
    <col min="12043" max="12045" width="0" style="2" hidden="1" customWidth="1"/>
    <col min="12046" max="12046" width="5.28515625" style="2" customWidth="1"/>
    <col min="12047" max="12049" width="0" style="2" hidden="1" customWidth="1"/>
    <col min="12050" max="12050" width="15" style="2" bestFit="1" customWidth="1"/>
    <col min="12051" max="12051" width="14.7109375" style="2" customWidth="1"/>
    <col min="12052" max="12054" width="4" style="2" bestFit="1" customWidth="1"/>
    <col min="12055" max="12055" width="7"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11.42578125" style="2" bestFit="1" customWidth="1"/>
    <col min="12296" max="12297" width="0" style="2" hidden="1" customWidth="1"/>
    <col min="12298" max="12298" width="5.28515625" style="2" customWidth="1"/>
    <col min="12299" max="12301" width="0" style="2" hidden="1" customWidth="1"/>
    <col min="12302" max="12302" width="5.28515625" style="2" customWidth="1"/>
    <col min="12303" max="12305" width="0" style="2" hidden="1" customWidth="1"/>
    <col min="12306" max="12306" width="15" style="2" bestFit="1" customWidth="1"/>
    <col min="12307" max="12307" width="14.7109375" style="2" customWidth="1"/>
    <col min="12308" max="12310" width="4" style="2" bestFit="1" customWidth="1"/>
    <col min="12311" max="12311" width="7"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11.42578125" style="2" bestFit="1" customWidth="1"/>
    <col min="12552" max="12553" width="0" style="2" hidden="1" customWidth="1"/>
    <col min="12554" max="12554" width="5.28515625" style="2" customWidth="1"/>
    <col min="12555" max="12557" width="0" style="2" hidden="1" customWidth="1"/>
    <col min="12558" max="12558" width="5.28515625" style="2" customWidth="1"/>
    <col min="12559" max="12561" width="0" style="2" hidden="1" customWidth="1"/>
    <col min="12562" max="12562" width="15" style="2" bestFit="1" customWidth="1"/>
    <col min="12563" max="12563" width="14.7109375" style="2" customWidth="1"/>
    <col min="12564" max="12566" width="4" style="2" bestFit="1" customWidth="1"/>
    <col min="12567" max="12567" width="7"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11.42578125" style="2" bestFit="1" customWidth="1"/>
    <col min="12808" max="12809" width="0" style="2" hidden="1" customWidth="1"/>
    <col min="12810" max="12810" width="5.28515625" style="2" customWidth="1"/>
    <col min="12811" max="12813" width="0" style="2" hidden="1" customWidth="1"/>
    <col min="12814" max="12814" width="5.28515625" style="2" customWidth="1"/>
    <col min="12815" max="12817" width="0" style="2" hidden="1" customWidth="1"/>
    <col min="12818" max="12818" width="15" style="2" bestFit="1" customWidth="1"/>
    <col min="12819" max="12819" width="14.7109375" style="2" customWidth="1"/>
    <col min="12820" max="12822" width="4" style="2" bestFit="1" customWidth="1"/>
    <col min="12823" max="12823" width="7"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11.42578125" style="2" bestFit="1" customWidth="1"/>
    <col min="13064" max="13065" width="0" style="2" hidden="1" customWidth="1"/>
    <col min="13066" max="13066" width="5.28515625" style="2" customWidth="1"/>
    <col min="13067" max="13069" width="0" style="2" hidden="1" customWidth="1"/>
    <col min="13070" max="13070" width="5.28515625" style="2" customWidth="1"/>
    <col min="13071" max="13073" width="0" style="2" hidden="1" customWidth="1"/>
    <col min="13074" max="13074" width="15" style="2" bestFit="1" customWidth="1"/>
    <col min="13075" max="13075" width="14.7109375" style="2" customWidth="1"/>
    <col min="13076" max="13078" width="4" style="2" bestFit="1" customWidth="1"/>
    <col min="13079" max="13079" width="7"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11.42578125" style="2" bestFit="1" customWidth="1"/>
    <col min="13320" max="13321" width="0" style="2" hidden="1" customWidth="1"/>
    <col min="13322" max="13322" width="5.28515625" style="2" customWidth="1"/>
    <col min="13323" max="13325" width="0" style="2" hidden="1" customWidth="1"/>
    <col min="13326" max="13326" width="5.28515625" style="2" customWidth="1"/>
    <col min="13327" max="13329" width="0" style="2" hidden="1" customWidth="1"/>
    <col min="13330" max="13330" width="15" style="2" bestFit="1" customWidth="1"/>
    <col min="13331" max="13331" width="14.7109375" style="2" customWidth="1"/>
    <col min="13332" max="13334" width="4" style="2" bestFit="1" customWidth="1"/>
    <col min="13335" max="13335" width="7"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11.42578125" style="2" bestFit="1" customWidth="1"/>
    <col min="13576" max="13577" width="0" style="2" hidden="1" customWidth="1"/>
    <col min="13578" max="13578" width="5.28515625" style="2" customWidth="1"/>
    <col min="13579" max="13581" width="0" style="2" hidden="1" customWidth="1"/>
    <col min="13582" max="13582" width="5.28515625" style="2" customWidth="1"/>
    <col min="13583" max="13585" width="0" style="2" hidden="1" customWidth="1"/>
    <col min="13586" max="13586" width="15" style="2" bestFit="1" customWidth="1"/>
    <col min="13587" max="13587" width="14.7109375" style="2" customWidth="1"/>
    <col min="13588" max="13590" width="4" style="2" bestFit="1" customWidth="1"/>
    <col min="13591" max="13591" width="7"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11.42578125" style="2" bestFit="1" customWidth="1"/>
    <col min="13832" max="13833" width="0" style="2" hidden="1" customWidth="1"/>
    <col min="13834" max="13834" width="5.28515625" style="2" customWidth="1"/>
    <col min="13835" max="13837" width="0" style="2" hidden="1" customWidth="1"/>
    <col min="13838" max="13838" width="5.28515625" style="2" customWidth="1"/>
    <col min="13839" max="13841" width="0" style="2" hidden="1" customWidth="1"/>
    <col min="13842" max="13842" width="15" style="2" bestFit="1" customWidth="1"/>
    <col min="13843" max="13843" width="14.7109375" style="2" customWidth="1"/>
    <col min="13844" max="13846" width="4" style="2" bestFit="1" customWidth="1"/>
    <col min="13847" max="13847" width="7"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11.42578125" style="2" bestFit="1" customWidth="1"/>
    <col min="14088" max="14089" width="0" style="2" hidden="1" customWidth="1"/>
    <col min="14090" max="14090" width="5.28515625" style="2" customWidth="1"/>
    <col min="14091" max="14093" width="0" style="2" hidden="1" customWidth="1"/>
    <col min="14094" max="14094" width="5.28515625" style="2" customWidth="1"/>
    <col min="14095" max="14097" width="0" style="2" hidden="1" customWidth="1"/>
    <col min="14098" max="14098" width="15" style="2" bestFit="1" customWidth="1"/>
    <col min="14099" max="14099" width="14.7109375" style="2" customWidth="1"/>
    <col min="14100" max="14102" width="4" style="2" bestFit="1" customWidth="1"/>
    <col min="14103" max="14103" width="7"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11.42578125" style="2" bestFit="1" customWidth="1"/>
    <col min="14344" max="14345" width="0" style="2" hidden="1" customWidth="1"/>
    <col min="14346" max="14346" width="5.28515625" style="2" customWidth="1"/>
    <col min="14347" max="14349" width="0" style="2" hidden="1" customWidth="1"/>
    <col min="14350" max="14350" width="5.28515625" style="2" customWidth="1"/>
    <col min="14351" max="14353" width="0" style="2" hidden="1" customWidth="1"/>
    <col min="14354" max="14354" width="15" style="2" bestFit="1" customWidth="1"/>
    <col min="14355" max="14355" width="14.7109375" style="2" customWidth="1"/>
    <col min="14356" max="14358" width="4" style="2" bestFit="1" customWidth="1"/>
    <col min="14359" max="14359" width="7"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11.42578125" style="2" bestFit="1" customWidth="1"/>
    <col min="14600" max="14601" width="0" style="2" hidden="1" customWidth="1"/>
    <col min="14602" max="14602" width="5.28515625" style="2" customWidth="1"/>
    <col min="14603" max="14605" width="0" style="2" hidden="1" customWidth="1"/>
    <col min="14606" max="14606" width="5.28515625" style="2" customWidth="1"/>
    <col min="14607" max="14609" width="0" style="2" hidden="1" customWidth="1"/>
    <col min="14610" max="14610" width="15" style="2" bestFit="1" customWidth="1"/>
    <col min="14611" max="14611" width="14.7109375" style="2" customWidth="1"/>
    <col min="14612" max="14614" width="4" style="2" bestFit="1" customWidth="1"/>
    <col min="14615" max="14615" width="7"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11.42578125" style="2" bestFit="1" customWidth="1"/>
    <col min="14856" max="14857" width="0" style="2" hidden="1" customWidth="1"/>
    <col min="14858" max="14858" width="5.28515625" style="2" customWidth="1"/>
    <col min="14859" max="14861" width="0" style="2" hidden="1" customWidth="1"/>
    <col min="14862" max="14862" width="5.28515625" style="2" customWidth="1"/>
    <col min="14863" max="14865" width="0" style="2" hidden="1" customWidth="1"/>
    <col min="14866" max="14866" width="15" style="2" bestFit="1" customWidth="1"/>
    <col min="14867" max="14867" width="14.7109375" style="2" customWidth="1"/>
    <col min="14868" max="14870" width="4" style="2" bestFit="1" customWidth="1"/>
    <col min="14871" max="14871" width="7"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11.42578125" style="2" bestFit="1" customWidth="1"/>
    <col min="15112" max="15113" width="0" style="2" hidden="1" customWidth="1"/>
    <col min="15114" max="15114" width="5.28515625" style="2" customWidth="1"/>
    <col min="15115" max="15117" width="0" style="2" hidden="1" customWidth="1"/>
    <col min="15118" max="15118" width="5.28515625" style="2" customWidth="1"/>
    <col min="15119" max="15121" width="0" style="2" hidden="1" customWidth="1"/>
    <col min="15122" max="15122" width="15" style="2" bestFit="1" customWidth="1"/>
    <col min="15123" max="15123" width="14.7109375" style="2" customWidth="1"/>
    <col min="15124" max="15126" width="4" style="2" bestFit="1" customWidth="1"/>
    <col min="15127" max="15127" width="7"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11.42578125" style="2" bestFit="1" customWidth="1"/>
    <col min="15368" max="15369" width="0" style="2" hidden="1" customWidth="1"/>
    <col min="15370" max="15370" width="5.28515625" style="2" customWidth="1"/>
    <col min="15371" max="15373" width="0" style="2" hidden="1" customWidth="1"/>
    <col min="15374" max="15374" width="5.28515625" style="2" customWidth="1"/>
    <col min="15375" max="15377" width="0" style="2" hidden="1" customWidth="1"/>
    <col min="15378" max="15378" width="15" style="2" bestFit="1" customWidth="1"/>
    <col min="15379" max="15379" width="14.7109375" style="2" customWidth="1"/>
    <col min="15380" max="15382" width="4" style="2" bestFit="1" customWidth="1"/>
    <col min="15383" max="15383" width="7"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11.42578125" style="2" bestFit="1" customWidth="1"/>
    <col min="15624" max="15625" width="0" style="2" hidden="1" customWidth="1"/>
    <col min="15626" max="15626" width="5.28515625" style="2" customWidth="1"/>
    <col min="15627" max="15629" width="0" style="2" hidden="1" customWidth="1"/>
    <col min="15630" max="15630" width="5.28515625" style="2" customWidth="1"/>
    <col min="15631" max="15633" width="0" style="2" hidden="1" customWidth="1"/>
    <col min="15634" max="15634" width="15" style="2" bestFit="1" customWidth="1"/>
    <col min="15635" max="15635" width="14.7109375" style="2" customWidth="1"/>
    <col min="15636" max="15638" width="4" style="2" bestFit="1" customWidth="1"/>
    <col min="15639" max="15639" width="7"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11.42578125" style="2" bestFit="1" customWidth="1"/>
    <col min="15880" max="15881" width="0" style="2" hidden="1" customWidth="1"/>
    <col min="15882" max="15882" width="5.28515625" style="2" customWidth="1"/>
    <col min="15883" max="15885" width="0" style="2" hidden="1" customWidth="1"/>
    <col min="15886" max="15886" width="5.28515625" style="2" customWidth="1"/>
    <col min="15887" max="15889" width="0" style="2" hidden="1" customWidth="1"/>
    <col min="15890" max="15890" width="15" style="2" bestFit="1" customWidth="1"/>
    <col min="15891" max="15891" width="14.7109375" style="2" customWidth="1"/>
    <col min="15892" max="15894" width="4" style="2" bestFit="1" customWidth="1"/>
    <col min="15895" max="15895" width="7"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11.42578125" style="2" bestFit="1" customWidth="1"/>
    <col min="16136" max="16137" width="0" style="2" hidden="1" customWidth="1"/>
    <col min="16138" max="16138" width="5.28515625" style="2" customWidth="1"/>
    <col min="16139" max="16141" width="0" style="2" hidden="1" customWidth="1"/>
    <col min="16142" max="16142" width="5.28515625" style="2" customWidth="1"/>
    <col min="16143" max="16145" width="0" style="2" hidden="1" customWidth="1"/>
    <col min="16146" max="16146" width="15" style="2" bestFit="1" customWidth="1"/>
    <col min="16147" max="16147" width="14.7109375" style="2" customWidth="1"/>
    <col min="16148" max="16150" width="4" style="2" bestFit="1" customWidth="1"/>
    <col min="16151" max="16151" width="7"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31 de MAYO del 2026.</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20"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1" t="s">
        <v>39</v>
      </c>
      <c r="C46" s="21"/>
      <c r="D46" s="21"/>
      <c r="E46" s="21"/>
    </row>
    <row r="47" spans="2:5" ht="56.25" customHeight="1" x14ac:dyDescent="0.25">
      <c r="B47" s="21" t="s">
        <v>40</v>
      </c>
      <c r="C47" s="21"/>
      <c r="D47" s="21"/>
      <c r="E47" s="21"/>
    </row>
    <row r="48" spans="2:5" ht="69.75" customHeight="1" x14ac:dyDescent="0.25">
      <c r="B48" s="14" t="s">
        <v>41</v>
      </c>
      <c r="C48" s="14"/>
      <c r="D48" s="14"/>
      <c r="E48" s="14"/>
    </row>
    <row r="49" spans="2:5" ht="13.5" customHeight="1" x14ac:dyDescent="0.25">
      <c r="B49" s="22"/>
      <c r="C49" s="22"/>
      <c r="D49" s="22"/>
      <c r="E49" s="22"/>
    </row>
    <row r="50" spans="2:5" ht="13.5" customHeight="1" x14ac:dyDescent="0.25">
      <c r="B50" s="22"/>
      <c r="C50" s="22"/>
      <c r="D50" s="22"/>
      <c r="E50" s="22"/>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3" t="s">
        <v>44</v>
      </c>
      <c r="C54" s="23"/>
      <c r="D54" s="23"/>
      <c r="E54" s="23"/>
    </row>
    <row r="55" spans="2:5" ht="14.25" customHeight="1" x14ac:dyDescent="0.25">
      <c r="B55" s="24"/>
      <c r="C55" s="24"/>
      <c r="D55" s="24"/>
      <c r="E55" s="24"/>
    </row>
    <row r="56" spans="2:5" ht="14.25" customHeight="1" x14ac:dyDescent="0.25">
      <c r="B56" s="24"/>
      <c r="C56" s="24"/>
      <c r="D56" s="24"/>
      <c r="E56" s="24"/>
    </row>
    <row r="57" spans="2:5" ht="25.5" customHeight="1" x14ac:dyDescent="0.25">
      <c r="B57" s="17" t="s">
        <v>45</v>
      </c>
      <c r="C57" s="24"/>
      <c r="D57" s="25"/>
      <c r="E57" s="24"/>
    </row>
    <row r="58" spans="2:5" x14ac:dyDescent="0.25">
      <c r="B58" s="17" t="s">
        <v>46</v>
      </c>
    </row>
    <row r="59" spans="2:5" ht="55.5" customHeight="1" x14ac:dyDescent="0.25">
      <c r="B59" s="21" t="s">
        <v>47</v>
      </c>
      <c r="C59" s="21"/>
      <c r="D59" s="21"/>
      <c r="E59" s="21"/>
    </row>
    <row r="60" spans="2:5" ht="27" customHeight="1" x14ac:dyDescent="0.25">
      <c r="B60" s="21" t="s">
        <v>48</v>
      </c>
      <c r="C60" s="21"/>
      <c r="D60" s="21"/>
      <c r="E60" s="21"/>
    </row>
    <row r="61" spans="2:5" x14ac:dyDescent="0.25">
      <c r="B61" s="7" t="s">
        <v>49</v>
      </c>
      <c r="C61" s="7"/>
      <c r="D61" s="7"/>
      <c r="E61" s="7"/>
    </row>
    <row r="62" spans="2:5" ht="73.5" customHeight="1" x14ac:dyDescent="0.25">
      <c r="B62" s="26" t="s">
        <v>50</v>
      </c>
      <c r="C62" s="26"/>
      <c r="D62" s="26"/>
      <c r="E62" s="26"/>
    </row>
    <row r="63" spans="2:5" x14ac:dyDescent="0.25">
      <c r="B63" s="7" t="s">
        <v>51</v>
      </c>
      <c r="C63" s="7"/>
      <c r="D63" s="7"/>
      <c r="E63" s="7"/>
    </row>
    <row r="64" spans="2:5" ht="68.25" customHeight="1" x14ac:dyDescent="0.25">
      <c r="B64" s="14" t="s">
        <v>52</v>
      </c>
      <c r="C64" s="14"/>
      <c r="D64" s="14"/>
      <c r="E64" s="14"/>
    </row>
    <row r="65" spans="2:5" ht="26.25" customHeight="1" x14ac:dyDescent="0.25">
      <c r="B65" s="22"/>
      <c r="C65" s="22"/>
      <c r="D65" s="22"/>
      <c r="E65" s="22"/>
    </row>
    <row r="66" spans="2:5" ht="25.5" customHeight="1" x14ac:dyDescent="0.25">
      <c r="B66" s="7" t="s">
        <v>53</v>
      </c>
      <c r="C66" s="7"/>
      <c r="D66" s="7"/>
      <c r="E66" s="7"/>
    </row>
    <row r="67" spans="2:5" ht="46.5" customHeight="1" x14ac:dyDescent="0.25">
      <c r="B67" s="21" t="s">
        <v>54</v>
      </c>
      <c r="C67" s="21"/>
      <c r="D67" s="21"/>
      <c r="E67" s="21"/>
    </row>
    <row r="68" spans="2:5" ht="43.5" hidden="1" customHeight="1" x14ac:dyDescent="0.25">
      <c r="B68" s="27" t="s">
        <v>55</v>
      </c>
      <c r="C68" s="27"/>
      <c r="D68" s="27"/>
      <c r="E68" s="27"/>
    </row>
    <row r="69" spans="2:5" ht="58.5" hidden="1" customHeight="1" x14ac:dyDescent="0.25">
      <c r="B69" s="27" t="s">
        <v>56</v>
      </c>
      <c r="C69" s="27"/>
      <c r="D69" s="27"/>
      <c r="E69" s="27"/>
    </row>
    <row r="70" spans="2:5" ht="30" hidden="1" customHeight="1" x14ac:dyDescent="0.25">
      <c r="B70" s="27" t="s">
        <v>57</v>
      </c>
      <c r="C70" s="27"/>
      <c r="D70" s="27"/>
      <c r="E70" s="27"/>
    </row>
    <row r="71" spans="2:5" hidden="1" x14ac:dyDescent="0.25">
      <c r="B71" s="27" t="s">
        <v>58</v>
      </c>
      <c r="C71" s="27"/>
      <c r="D71" s="27"/>
      <c r="E71" s="27"/>
    </row>
    <row r="72" spans="2:5" ht="63.75" hidden="1" customHeight="1" x14ac:dyDescent="0.25">
      <c r="B72" s="27" t="s">
        <v>59</v>
      </c>
      <c r="C72" s="27"/>
      <c r="D72" s="27"/>
      <c r="E72" s="27"/>
    </row>
    <row r="73" spans="2:5" ht="42" hidden="1" customHeight="1" x14ac:dyDescent="0.25">
      <c r="B73" s="27" t="s">
        <v>60</v>
      </c>
      <c r="C73" s="27"/>
      <c r="D73" s="27"/>
      <c r="E73" s="27"/>
    </row>
    <row r="74" spans="2:5" ht="78.75" hidden="1" customHeight="1" x14ac:dyDescent="0.25">
      <c r="B74" s="27" t="s">
        <v>61</v>
      </c>
      <c r="C74" s="27"/>
      <c r="D74" s="27"/>
      <c r="E74" s="27"/>
    </row>
    <row r="75" spans="2:5" ht="66" hidden="1" customHeight="1" x14ac:dyDescent="0.25">
      <c r="B75" s="27" t="s">
        <v>62</v>
      </c>
      <c r="C75" s="27"/>
      <c r="D75" s="27"/>
      <c r="E75" s="27"/>
    </row>
    <row r="76" spans="2:5" ht="13.5" customHeight="1" x14ac:dyDescent="0.25">
      <c r="B76" s="28"/>
      <c r="C76" s="28"/>
      <c r="D76" s="29"/>
      <c r="E76" s="28"/>
    </row>
    <row r="77" spans="2:5" ht="26.25" customHeight="1" x14ac:dyDescent="0.25">
      <c r="B77" s="7" t="s">
        <v>63</v>
      </c>
      <c r="C77" s="7"/>
      <c r="D77" s="7"/>
      <c r="E77" s="7"/>
    </row>
    <row r="78" spans="2:5" ht="34.5" customHeight="1" x14ac:dyDescent="0.25">
      <c r="B78" s="30" t="s">
        <v>64</v>
      </c>
      <c r="C78" s="30"/>
      <c r="D78" s="30"/>
      <c r="E78" s="30"/>
    </row>
    <row r="79" spans="2:5" ht="15.75" customHeight="1" x14ac:dyDescent="0.25">
      <c r="B79" s="28"/>
      <c r="C79" s="28"/>
      <c r="D79" s="28"/>
      <c r="E79" s="28"/>
    </row>
    <row r="80" spans="2:5" ht="15.75" customHeight="1" x14ac:dyDescent="0.25">
      <c r="B80" s="31" t="s">
        <v>65</v>
      </c>
      <c r="C80" s="28"/>
      <c r="D80" s="29"/>
      <c r="E80" s="28"/>
    </row>
    <row r="81" spans="2:5" ht="20.25" customHeight="1" x14ac:dyDescent="0.25">
      <c r="B81" s="7" t="s">
        <v>66</v>
      </c>
      <c r="C81" s="7"/>
      <c r="D81" s="7"/>
      <c r="E81" s="7"/>
    </row>
    <row r="82" spans="2:5" x14ac:dyDescent="0.25">
      <c r="B82" s="7" t="s">
        <v>67</v>
      </c>
      <c r="C82" s="7"/>
      <c r="D82" s="7"/>
      <c r="E82" s="7"/>
    </row>
    <row r="83" spans="2:5" ht="49.5" customHeight="1" x14ac:dyDescent="0.25">
      <c r="B83" s="30" t="s">
        <v>68</v>
      </c>
      <c r="C83" s="30"/>
      <c r="D83" s="30"/>
      <c r="E83" s="30"/>
    </row>
    <row r="84" spans="2:5" x14ac:dyDescent="0.25">
      <c r="B84" s="7" t="s">
        <v>69</v>
      </c>
      <c r="C84" s="7"/>
      <c r="D84" s="7"/>
      <c r="E84" s="7"/>
    </row>
    <row r="85" spans="2:5" ht="45" customHeight="1" x14ac:dyDescent="0.25">
      <c r="B85" s="21" t="s">
        <v>70</v>
      </c>
      <c r="C85" s="21"/>
      <c r="D85" s="21"/>
      <c r="E85" s="21"/>
    </row>
    <row r="86" spans="2:5" x14ac:dyDescent="0.25">
      <c r="B86" s="7" t="s">
        <v>71</v>
      </c>
      <c r="C86" s="7"/>
      <c r="D86" s="7"/>
      <c r="E86" s="7"/>
    </row>
    <row r="87" spans="2:5" ht="39.75" customHeight="1" x14ac:dyDescent="0.25">
      <c r="B87" s="21" t="s">
        <v>72</v>
      </c>
      <c r="C87" s="21"/>
      <c r="D87" s="21"/>
      <c r="E87" s="21"/>
    </row>
    <row r="88" spans="2:5" x14ac:dyDescent="0.25">
      <c r="B88" s="7" t="s">
        <v>73</v>
      </c>
      <c r="C88" s="7"/>
      <c r="D88" s="7"/>
      <c r="E88" s="7"/>
    </row>
    <row r="89" spans="2:5" ht="40.5" customHeight="1" x14ac:dyDescent="0.25">
      <c r="B89" s="21" t="s">
        <v>74</v>
      </c>
      <c r="C89" s="21"/>
      <c r="D89" s="21"/>
      <c r="E89" s="21"/>
    </row>
    <row r="90" spans="2:5" x14ac:dyDescent="0.25">
      <c r="B90" s="7" t="s">
        <v>75</v>
      </c>
      <c r="C90" s="7"/>
      <c r="D90" s="7"/>
      <c r="E90" s="7"/>
    </row>
    <row r="91" spans="2:5" ht="39" customHeight="1" x14ac:dyDescent="0.25">
      <c r="B91" s="21" t="s">
        <v>76</v>
      </c>
      <c r="C91" s="21"/>
      <c r="D91" s="21"/>
      <c r="E91" s="21"/>
    </row>
    <row r="92" spans="2:5" x14ac:dyDescent="0.25">
      <c r="B92" s="7" t="s">
        <v>77</v>
      </c>
      <c r="C92" s="7"/>
      <c r="D92" s="7"/>
      <c r="E92" s="7"/>
    </row>
    <row r="93" spans="2:5" ht="25.5" customHeight="1" x14ac:dyDescent="0.25">
      <c r="B93" s="7" t="s">
        <v>78</v>
      </c>
      <c r="C93" s="7"/>
      <c r="D93" s="7"/>
      <c r="E93" s="7"/>
    </row>
    <row r="94" spans="2:5" ht="45" customHeight="1" x14ac:dyDescent="0.25">
      <c r="B94" s="21" t="s">
        <v>79</v>
      </c>
      <c r="C94" s="21"/>
      <c r="D94" s="21"/>
      <c r="E94" s="21"/>
    </row>
    <row r="95" spans="2:5" ht="35.25" customHeight="1" x14ac:dyDescent="0.25">
      <c r="B95" s="21" t="s">
        <v>80</v>
      </c>
      <c r="C95" s="21"/>
      <c r="D95" s="21"/>
      <c r="E95" s="21"/>
    </row>
    <row r="96" spans="2:5" ht="39.75" customHeight="1" x14ac:dyDescent="0.25">
      <c r="B96" s="14" t="s">
        <v>81</v>
      </c>
      <c r="C96" s="14"/>
      <c r="D96" s="14"/>
      <c r="E96" s="14"/>
    </row>
    <row r="97" spans="2:5" ht="51.75" customHeight="1" x14ac:dyDescent="0.25">
      <c r="B97" s="21" t="s">
        <v>82</v>
      </c>
      <c r="C97" s="21"/>
      <c r="D97" s="21"/>
      <c r="E97" s="21"/>
    </row>
    <row r="98" spans="2:5" ht="19.5" customHeight="1" x14ac:dyDescent="0.25">
      <c r="B98" s="16"/>
      <c r="C98" s="16"/>
      <c r="D98" s="16"/>
      <c r="E98" s="16"/>
    </row>
    <row r="99" spans="2:5" ht="19.5" customHeight="1" x14ac:dyDescent="0.25">
      <c r="B99" s="16"/>
      <c r="C99" s="16"/>
      <c r="D99" s="16"/>
      <c r="E99" s="16"/>
    </row>
    <row r="100" spans="2:5" ht="21" customHeight="1" x14ac:dyDescent="0.25">
      <c r="B100" s="16"/>
      <c r="C100" s="16"/>
      <c r="D100" s="16"/>
      <c r="E100" s="16"/>
    </row>
    <row r="101" spans="2:5" ht="24.75" customHeight="1" x14ac:dyDescent="0.25">
      <c r="B101" s="16"/>
      <c r="C101" s="16"/>
      <c r="D101" s="16"/>
      <c r="E101" s="16"/>
    </row>
    <row r="102" spans="2:5" ht="33" customHeight="1" x14ac:dyDescent="0.25">
      <c r="B102" s="16"/>
      <c r="C102" s="16"/>
      <c r="D102" s="16"/>
      <c r="E102" s="16"/>
    </row>
    <row r="103" spans="2:5" ht="36.75" customHeight="1" x14ac:dyDescent="0.25">
      <c r="B103" s="21" t="s">
        <v>83</v>
      </c>
      <c r="C103" s="21"/>
      <c r="D103" s="21"/>
      <c r="E103" s="21"/>
    </row>
    <row r="104" spans="2:5" ht="77.25" customHeight="1" x14ac:dyDescent="0.25">
      <c r="B104" s="21" t="s">
        <v>84</v>
      </c>
      <c r="C104" s="21"/>
      <c r="D104" s="21"/>
      <c r="E104" s="21"/>
    </row>
    <row r="105" spans="2:5" ht="18.75" customHeight="1" x14ac:dyDescent="0.25">
      <c r="B105" s="12" t="s">
        <v>85</v>
      </c>
      <c r="C105" s="12"/>
      <c r="D105" s="12"/>
      <c r="E105" s="12"/>
    </row>
    <row r="106" spans="2:5" ht="66.75" customHeight="1" x14ac:dyDescent="0.25">
      <c r="B106" s="21" t="s">
        <v>86</v>
      </c>
      <c r="C106" s="21"/>
      <c r="D106" s="21"/>
      <c r="E106" s="21"/>
    </row>
    <row r="107" spans="2:5" ht="55.5" customHeight="1" x14ac:dyDescent="0.25">
      <c r="B107" s="21" t="s">
        <v>87</v>
      </c>
      <c r="C107" s="21"/>
      <c r="D107" s="21"/>
      <c r="E107" s="21"/>
    </row>
    <row r="108" spans="2:5" ht="18.75" customHeight="1" x14ac:dyDescent="0.25">
      <c r="B108" s="12" t="s">
        <v>88</v>
      </c>
      <c r="C108" s="12"/>
      <c r="D108" s="12"/>
      <c r="E108" s="12"/>
    </row>
    <row r="109" spans="2:5" ht="42" customHeight="1" x14ac:dyDescent="0.25">
      <c r="B109" s="21" t="s">
        <v>89</v>
      </c>
      <c r="C109" s="21"/>
      <c r="D109" s="21"/>
      <c r="E109" s="21"/>
    </row>
    <row r="110" spans="2:5" ht="17.25" customHeight="1" x14ac:dyDescent="0.25">
      <c r="B110" s="16"/>
      <c r="C110" s="16"/>
      <c r="D110" s="16"/>
      <c r="E110" s="16"/>
    </row>
    <row r="111" spans="2:5" x14ac:dyDescent="0.25">
      <c r="B111" s="7" t="s">
        <v>90</v>
      </c>
      <c r="C111" s="7"/>
      <c r="D111" s="7"/>
      <c r="E111" s="7"/>
    </row>
    <row r="112" spans="2:5" ht="21.75" customHeight="1" x14ac:dyDescent="0.25">
      <c r="B112" s="7" t="s">
        <v>91</v>
      </c>
      <c r="C112" s="7"/>
      <c r="D112" s="7"/>
      <c r="E112" s="7"/>
    </row>
    <row r="113" spans="2:26" ht="30.75" customHeight="1" x14ac:dyDescent="0.25">
      <c r="B113" s="14" t="str">
        <f>("Un detalle del "&amp;_Toc208202813&amp;" al "&amp;[1]BALANZA!$B$3&amp;" "&amp;[1]BALANZA!$C$3&amp;" es como se detalla a continuación:")</f>
        <v>Un detalle del Efectivo y equivalentes de efectivo. al 31 de MAYO del 2026  - 2025 es como se detalla a continuación:</v>
      </c>
      <c r="C113" s="32"/>
      <c r="D113" s="32"/>
      <c r="E113" s="32"/>
    </row>
    <row r="114" spans="2:26" ht="37.5" customHeight="1" x14ac:dyDescent="0.25">
      <c r="B114" s="21" t="str">
        <f>("El efectivo disponible en caja y cuentas bancarias presenta los siguientes ascenso  para el "&amp;C118&amp;" RD$"&amp;R127&amp;"  y para el "&amp;D118&amp;" fue de RD$ "&amp;R128&amp;" , el cual se detalla a continuación:")</f>
        <v>El efectivo disponible en caja y cuentas bancarias presenta los siguientes ascenso  para el 2026 RD$395,040,845.99  y para el 2025 fue de RD$ 422,773,433.55 , el cual se detalla a continuación:</v>
      </c>
      <c r="C114" s="21"/>
      <c r="D114" s="21"/>
      <c r="E114" s="21"/>
    </row>
    <row r="115" spans="2:26" ht="50.45" customHeight="1" x14ac:dyDescent="0.25">
      <c r="B115" s="21" t="s">
        <v>92</v>
      </c>
      <c r="C115" s="21"/>
      <c r="D115" s="21"/>
      <c r="E115" s="21"/>
    </row>
    <row r="116" spans="2:26" ht="22.5" customHeight="1" x14ac:dyDescent="0.25">
      <c r="B116" s="21" t="s">
        <v>93</v>
      </c>
      <c r="C116" s="21"/>
      <c r="D116" s="21"/>
      <c r="E116" s="21"/>
    </row>
    <row r="117" spans="2:26" ht="7.5" customHeight="1" x14ac:dyDescent="0.25">
      <c r="B117" s="13"/>
    </row>
    <row r="118" spans="2:26" x14ac:dyDescent="0.25">
      <c r="B118" s="33" t="s">
        <v>94</v>
      </c>
      <c r="C118" s="34">
        <f>+[1]BALANZA!B4</f>
        <v>2026</v>
      </c>
      <c r="D118" s="35">
        <f>+[1]BALANZA!C4</f>
        <v>2025</v>
      </c>
      <c r="E118" s="36" t="s">
        <v>95</v>
      </c>
    </row>
    <row r="119" spans="2:26" ht="18" hidden="1" customHeight="1" x14ac:dyDescent="0.25">
      <c r="B119" s="37" t="s">
        <v>96</v>
      </c>
      <c r="C119" s="38">
        <f>+'[1]BALANZA G'!C12</f>
        <v>0</v>
      </c>
      <c r="D119" s="39">
        <f>+'[1]BALANZA G'!D12</f>
        <v>0</v>
      </c>
      <c r="E119" s="40">
        <f t="shared" ref="E119:E125" si="0">+C119-D119</f>
        <v>0</v>
      </c>
    </row>
    <row r="120" spans="2:26" ht="18" customHeight="1" x14ac:dyDescent="0.25">
      <c r="B120" s="37" t="s">
        <v>97</v>
      </c>
      <c r="C120" s="38">
        <f>+'[1]BALANZA G'!C13</f>
        <v>95000</v>
      </c>
      <c r="D120" s="39">
        <f>+'[1]BALANZA G'!D13</f>
        <v>95000</v>
      </c>
      <c r="E120" s="40">
        <f t="shared" si="0"/>
        <v>0</v>
      </c>
    </row>
    <row r="121" spans="2:26" ht="18" customHeight="1" x14ac:dyDescent="0.25">
      <c r="B121" s="37" t="s">
        <v>98</v>
      </c>
      <c r="C121" s="38">
        <f>+'[1]BALANZA G'!C23</f>
        <v>0</v>
      </c>
      <c r="D121" s="38">
        <f>IF(+'[1]BALANZA G'!D23&gt;0,+'[1]BALANZA G'!D23,0)</f>
        <v>1391.2</v>
      </c>
      <c r="E121" s="40">
        <f t="shared" si="0"/>
        <v>-1391.2</v>
      </c>
    </row>
    <row r="122" spans="2:26" ht="18" customHeight="1" x14ac:dyDescent="0.25">
      <c r="B122" s="41" t="s">
        <v>99</v>
      </c>
      <c r="C122" s="38">
        <f>+'[1]BALANZA G'!C25</f>
        <v>690928.99</v>
      </c>
      <c r="D122" s="38">
        <f>IF(+'[1]BALANZA G'!D25&gt;0,+'[1]BALANZA G'!D25,0)</f>
        <v>814839.56</v>
      </c>
      <c r="E122" s="42">
        <f t="shared" si="0"/>
        <v>-123910.57000000007</v>
      </c>
    </row>
    <row r="123" spans="2:26" ht="30" customHeight="1" x14ac:dyDescent="0.25">
      <c r="B123" s="37" t="s">
        <v>100</v>
      </c>
      <c r="C123" s="38">
        <f>+'[1]BALANZA G'!C24</f>
        <v>0</v>
      </c>
      <c r="D123" s="38">
        <f>IF(+'[1]BALANZA G'!D24&gt;0,+'[1]BALANZA G'!D24,0)</f>
        <v>0</v>
      </c>
      <c r="E123" s="40">
        <f t="shared" si="0"/>
        <v>0</v>
      </c>
    </row>
    <row r="124" spans="2:26" ht="17.25" customHeight="1" x14ac:dyDescent="0.25">
      <c r="B124" s="37" t="s">
        <v>101</v>
      </c>
      <c r="C124" s="38">
        <f>+'[1]BALANZA G'!C26</f>
        <v>1303501.18</v>
      </c>
      <c r="D124" s="38">
        <f>+'[1]BALANZA G'!D26</f>
        <v>331933.27</v>
      </c>
      <c r="E124" s="40">
        <f t="shared" si="0"/>
        <v>971567.90999999992</v>
      </c>
    </row>
    <row r="125" spans="2:26" ht="17.25" customHeight="1" x14ac:dyDescent="0.25">
      <c r="B125" s="43" t="s">
        <v>102</v>
      </c>
      <c r="C125" s="44">
        <f>+'[1]BALANZA G'!C27+'[1]BALANZA G'!C22</f>
        <v>392951415.81999999</v>
      </c>
      <c r="D125" s="38">
        <f>+'[1]BALANZA G'!D27+'[1]BALANZA G'!D22</f>
        <v>421530269.51999998</v>
      </c>
      <c r="E125" s="40">
        <f t="shared" si="0"/>
        <v>-28578853.699999988</v>
      </c>
    </row>
    <row r="126" spans="2:26" ht="12.75" hidden="1" customHeight="1" x14ac:dyDescent="0.25">
      <c r="B126" s="43" t="s">
        <v>103</v>
      </c>
      <c r="C126" s="44">
        <f>+'[1]BALANZA G'!C28</f>
        <v>0</v>
      </c>
      <c r="D126" s="38">
        <f>+'[1]BALANZA G'!D28</f>
        <v>0</v>
      </c>
      <c r="E126" s="40"/>
    </row>
    <row r="127" spans="2:26" s="45" customFormat="1" ht="12.75" customHeight="1" x14ac:dyDescent="0.25">
      <c r="B127" s="46" t="s">
        <v>104</v>
      </c>
      <c r="C127" s="47">
        <f>SUM(C119:C126)</f>
        <v>395040845.99000001</v>
      </c>
      <c r="D127" s="47">
        <f>SUM(D119:D126)</f>
        <v>422773433.54999995</v>
      </c>
      <c r="E127" s="48">
        <f>SUM(E119:E123)</f>
        <v>-125301.77000000006</v>
      </c>
      <c r="J127" s="49"/>
      <c r="K127" s="49"/>
      <c r="N127" s="49"/>
      <c r="R127" s="4" t="str">
        <f>+CONCATENATE(T127,",",U127,",",V127,W127)</f>
        <v>395,040,845.99</v>
      </c>
      <c r="S127" s="4"/>
      <c r="T127" s="4" t="str">
        <f>MID(C127,1,3)</f>
        <v>395</v>
      </c>
      <c r="U127" s="4" t="str">
        <f>MID(C127,4,3)</f>
        <v>040</v>
      </c>
      <c r="V127" s="4" t="str">
        <f>MID(C127,7,3)</f>
        <v>845</v>
      </c>
      <c r="W127" s="4" t="str">
        <f>MID(C127,10,3)</f>
        <v>.99</v>
      </c>
      <c r="X127" s="4"/>
      <c r="Y127" s="50"/>
      <c r="Z127" s="49"/>
    </row>
    <row r="128" spans="2:26" s="45" customFormat="1" x14ac:dyDescent="0.25">
      <c r="B128" s="51"/>
      <c r="C128" s="52">
        <f>+C127-'[1]ES F '!B11</f>
        <v>0</v>
      </c>
      <c r="D128" s="53"/>
      <c r="E128" s="54"/>
      <c r="J128" s="49"/>
      <c r="K128" s="49"/>
      <c r="N128" s="49"/>
      <c r="R128" s="4" t="str">
        <f>+CONCATENATE(T128,",",U128,",",V128,W128)</f>
        <v>422,773,433.55</v>
      </c>
      <c r="S128" s="4"/>
      <c r="T128" s="4" t="str">
        <f>MID(D127,1,3)</f>
        <v>422</v>
      </c>
      <c r="U128" s="4" t="str">
        <f>MID(D127,4,3)</f>
        <v>773</v>
      </c>
      <c r="V128" s="4" t="str">
        <f>MID(D127,7,3)</f>
        <v>433</v>
      </c>
      <c r="W128" s="4" t="str">
        <f>MID(D127,10,3)</f>
        <v>.55</v>
      </c>
      <c r="X128" s="4" t="str">
        <f>MID(E128,7,3)</f>
        <v/>
      </c>
      <c r="Y128" s="4" t="str">
        <f>MID(C128,10,3)</f>
        <v/>
      </c>
      <c r="Z128" s="49"/>
    </row>
    <row r="129" spans="2:26" s="45" customFormat="1" x14ac:dyDescent="0.25">
      <c r="B129" s="55" t="str">
        <f>("Cambio porcentual con relación al "&amp;$D$118&amp;".")</f>
        <v>Cambio porcentual con relación al 2025.</v>
      </c>
      <c r="C129" s="56"/>
      <c r="D129" s="57" t="str">
        <f>IF(E129&gt;=0,"Aumento","Disminución")</f>
        <v>Disminución</v>
      </c>
      <c r="E129" s="58">
        <f>+E127/D127</f>
        <v>-2.9638042520280797E-4</v>
      </c>
      <c r="J129" s="49"/>
      <c r="K129" s="49"/>
      <c r="N129" s="49"/>
      <c r="R129" s="50"/>
      <c r="S129" s="50"/>
      <c r="T129" s="50"/>
      <c r="U129" s="50"/>
      <c r="V129" s="50"/>
      <c r="W129" s="50"/>
      <c r="X129" s="50"/>
      <c r="Y129" s="50"/>
      <c r="Z129" s="49"/>
    </row>
    <row r="130" spans="2:26" s="45" customFormat="1" x14ac:dyDescent="0.25">
      <c r="B130" s="59"/>
      <c r="C130" s="59"/>
      <c r="D130" s="60"/>
      <c r="E130" s="61"/>
      <c r="J130" s="49"/>
      <c r="K130" s="49"/>
      <c r="N130" s="49"/>
      <c r="R130" s="50"/>
      <c r="S130" s="50"/>
      <c r="T130" s="50"/>
      <c r="U130" s="50"/>
      <c r="V130" s="50"/>
      <c r="W130" s="50"/>
      <c r="X130" s="50"/>
      <c r="Y130" s="50"/>
      <c r="Z130" s="49"/>
    </row>
    <row r="131" spans="2:26" s="45" customFormat="1" x14ac:dyDescent="0.25">
      <c r="B131" s="62"/>
      <c r="C131" s="62"/>
      <c r="D131" s="60"/>
      <c r="E131" s="63"/>
      <c r="J131" s="49"/>
      <c r="K131" s="49"/>
      <c r="N131" s="49"/>
      <c r="R131" s="50"/>
      <c r="S131" s="50"/>
      <c r="T131" s="50"/>
      <c r="U131" s="50"/>
      <c r="V131" s="50"/>
      <c r="W131" s="50"/>
      <c r="X131" s="50"/>
      <c r="Y131" s="50"/>
      <c r="Z131" s="49"/>
    </row>
    <row r="132" spans="2:26" s="45" customFormat="1" x14ac:dyDescent="0.25">
      <c r="B132" s="62"/>
      <c r="C132" s="62"/>
      <c r="D132" s="60"/>
      <c r="E132" s="63"/>
      <c r="J132" s="49"/>
      <c r="K132" s="49"/>
      <c r="N132" s="49"/>
      <c r="R132" s="50"/>
      <c r="S132" s="50"/>
      <c r="T132" s="50"/>
      <c r="U132" s="50"/>
      <c r="V132" s="50"/>
      <c r="W132" s="50"/>
      <c r="X132" s="50"/>
      <c r="Y132" s="50"/>
      <c r="Z132" s="49"/>
    </row>
    <row r="133" spans="2:26" s="45" customFormat="1" x14ac:dyDescent="0.25">
      <c r="B133" s="62"/>
      <c r="C133" s="62"/>
      <c r="D133" s="60"/>
      <c r="E133" s="63"/>
      <c r="J133" s="49"/>
      <c r="K133" s="49"/>
      <c r="N133" s="49"/>
      <c r="R133" s="50"/>
      <c r="S133" s="50"/>
      <c r="T133" s="50"/>
      <c r="U133" s="50"/>
      <c r="V133" s="50"/>
      <c r="W133" s="50"/>
      <c r="X133" s="50"/>
      <c r="Y133" s="50"/>
      <c r="Z133" s="49"/>
    </row>
    <row r="134" spans="2:26" s="45" customFormat="1" x14ac:dyDescent="0.25">
      <c r="B134" s="62"/>
      <c r="C134" s="62"/>
      <c r="D134" s="60"/>
      <c r="E134" s="63"/>
      <c r="J134" s="49"/>
      <c r="K134" s="49"/>
      <c r="N134" s="49"/>
      <c r="R134" s="50"/>
      <c r="S134" s="50"/>
      <c r="T134" s="50"/>
      <c r="U134" s="50"/>
      <c r="V134" s="50"/>
      <c r="W134" s="50"/>
      <c r="X134" s="50"/>
      <c r="Y134" s="50"/>
      <c r="Z134" s="49"/>
    </row>
    <row r="135" spans="2:26" hidden="1" x14ac:dyDescent="0.25">
      <c r="B135" s="11" t="s">
        <v>105</v>
      </c>
    </row>
    <row r="136" spans="2:26" hidden="1" x14ac:dyDescent="0.25">
      <c r="B136" s="64" t="s">
        <v>106</v>
      </c>
      <c r="C136" s="64"/>
      <c r="D136" s="64"/>
      <c r="E136" s="64"/>
    </row>
    <row r="137" spans="2:26" ht="23.25" hidden="1" customHeight="1" x14ac:dyDescent="0.25">
      <c r="B137" s="14" t="str">
        <f>("Un detalle del "&amp;B136&amp;" al "&amp;[1]BALANZA!$B$3&amp;" "&amp;[1]BALANZA!$C$3&amp;" es como se detalla a continuación:")</f>
        <v>Un detalle del Inversiones a corto plazo al 31 de MAYO del 2026  - 2025 es como se detalla a continuación:</v>
      </c>
      <c r="C137" s="32"/>
      <c r="D137" s="32"/>
      <c r="E137" s="32"/>
    </row>
    <row r="138" spans="2:26" ht="45" hidden="1" customHeight="1" x14ac:dyDescent="0.25">
      <c r="B138" s="21" t="str">
        <f>("Las inversiones a corto plazo enta integrado por un certificado financiero en el banco de reservas a un año renobable a la tasa de 0.12% anual, para el "&amp;C140&amp;" el total era de RD$ "&amp;R143&amp;" en vista de que se cancelo y para el "&amp;D140&amp;" el total fue de RD$ "&amp;R144&amp;" , Según el siguiente detalle:")</f>
        <v>Las inversiones a corto plazo enta integrado por un certificado financiero en el banco de reservas a un año renobable a la tasa de 0.12% anual, para el 2026 el total era de RD$ 0.00 en vista de que se cancelo y para el 2025 el total fue de RD$ 0,.00 , Según el siguiente detalle:</v>
      </c>
      <c r="C138" s="21"/>
      <c r="D138" s="21"/>
      <c r="E138" s="21"/>
    </row>
    <row r="139" spans="2:26" hidden="1" x14ac:dyDescent="0.25">
      <c r="B139" s="65"/>
    </row>
    <row r="140" spans="2:26" hidden="1" x14ac:dyDescent="0.25">
      <c r="B140" s="36" t="s">
        <v>94</v>
      </c>
      <c r="C140" s="36">
        <f>+[1]BALANZA!B4</f>
        <v>2026</v>
      </c>
      <c r="D140" s="36">
        <f>+[1]BALANZA!C4</f>
        <v>2025</v>
      </c>
      <c r="E140" s="36" t="s">
        <v>95</v>
      </c>
    </row>
    <row r="141" spans="2:26" hidden="1" x14ac:dyDescent="0.25">
      <c r="B141" s="66" t="s">
        <v>107</v>
      </c>
      <c r="C141" s="67">
        <f>+'[1]BALANZA G'!C15</f>
        <v>80000</v>
      </c>
      <c r="D141" s="68">
        <f>+'[1]BALANZA G'!D15</f>
        <v>80000</v>
      </c>
      <c r="E141" s="69">
        <f>+C141-D141</f>
        <v>0</v>
      </c>
    </row>
    <row r="142" spans="2:26" hidden="1" x14ac:dyDescent="0.25">
      <c r="B142" s="66" t="s">
        <v>108</v>
      </c>
      <c r="C142" s="70">
        <f>+'[1]BALANZA G'!C30</f>
        <v>0</v>
      </c>
      <c r="D142" s="71">
        <f>+'[1]BALANZA G'!D30</f>
        <v>0</v>
      </c>
      <c r="E142" s="72">
        <f>+C142-D142</f>
        <v>0</v>
      </c>
    </row>
    <row r="143" spans="2:26" hidden="1" x14ac:dyDescent="0.25">
      <c r="B143" s="73" t="s">
        <v>109</v>
      </c>
      <c r="C143" s="48">
        <f>SUM(C142:C142)</f>
        <v>0</v>
      </c>
      <c r="D143" s="74">
        <f>SUM(D142:D142)</f>
        <v>0</v>
      </c>
      <c r="E143" s="48">
        <f>SUM(E141:E142)</f>
        <v>0</v>
      </c>
      <c r="R143" s="4" t="str">
        <f>+CONCATENATE(S143,T143,U143,".00")</f>
        <v>0.00</v>
      </c>
      <c r="S143" s="4" t="str">
        <f>MID(C143,1,3)</f>
        <v>0</v>
      </c>
      <c r="T143" s="4" t="str">
        <f>MID(C142,4,3)</f>
        <v/>
      </c>
      <c r="U143" s="4" t="str">
        <f>MID(D142,7,3)</f>
        <v/>
      </c>
    </row>
    <row r="144" spans="2:26" hidden="1" x14ac:dyDescent="0.25">
      <c r="B144" s="75"/>
      <c r="C144" s="76">
        <f>+C143-'[1]ES F '!B12</f>
        <v>0</v>
      </c>
      <c r="D144" s="77"/>
      <c r="E144" s="76"/>
      <c r="R144" s="4" t="str">
        <f>+CONCATENATE(S144,",",T144,U144,".00")</f>
        <v>0,.00</v>
      </c>
      <c r="S144" s="4" t="str">
        <f>MID(D143,1,3)</f>
        <v>0</v>
      </c>
      <c r="T144" s="4" t="str">
        <f>MID(D143,4,3)</f>
        <v/>
      </c>
      <c r="U144" s="4" t="str">
        <f>MID(E143,7,3)</f>
        <v/>
      </c>
    </row>
    <row r="145" spans="1:26" s="45" customFormat="1" hidden="1" x14ac:dyDescent="0.25">
      <c r="B145" s="55" t="str">
        <f>("Cambio porcentual con relación al "&amp;$D$118&amp;".")</f>
        <v>Cambio porcentual con relación al 2025.</v>
      </c>
      <c r="C145" s="56"/>
      <c r="D145" s="78" t="e">
        <f>IF(E145&gt;=0,"Aumento","Disminución")</f>
        <v>#DIV/0!</v>
      </c>
      <c r="E145" s="58" t="e">
        <f>+E143/D143</f>
        <v>#DIV/0!</v>
      </c>
      <c r="J145" s="49"/>
      <c r="K145" s="49"/>
      <c r="N145" s="49"/>
      <c r="R145" s="50"/>
      <c r="S145" s="50"/>
      <c r="T145" s="50"/>
      <c r="U145" s="50"/>
      <c r="V145" s="50"/>
      <c r="W145" s="50"/>
      <c r="X145" s="50"/>
      <c r="Y145" s="50"/>
      <c r="Z145" s="49"/>
    </row>
    <row r="146" spans="1:26" s="45" customFormat="1" x14ac:dyDescent="0.25">
      <c r="B146" s="62"/>
      <c r="C146" s="62"/>
      <c r="D146" s="60"/>
      <c r="E146" s="63"/>
      <c r="J146" s="49"/>
      <c r="K146" s="49"/>
      <c r="N146" s="49"/>
      <c r="R146" s="50"/>
      <c r="S146" s="50"/>
      <c r="T146" s="50"/>
      <c r="U146" s="50"/>
      <c r="V146" s="50"/>
      <c r="W146" s="50"/>
      <c r="X146" s="50"/>
      <c r="Y146" s="50"/>
      <c r="Z146" s="49"/>
    </row>
    <row r="147" spans="1:26" x14ac:dyDescent="0.25">
      <c r="B147" s="65" t="s">
        <v>110</v>
      </c>
    </row>
    <row r="148" spans="1:26" ht="18.75" customHeight="1" x14ac:dyDescent="0.25">
      <c r="B148" s="64" t="s">
        <v>111</v>
      </c>
      <c r="C148" s="64"/>
      <c r="D148" s="64"/>
      <c r="E148" s="64"/>
    </row>
    <row r="149" spans="1:26" ht="36" customHeight="1" x14ac:dyDescent="0.25">
      <c r="B149" s="14" t="str">
        <f>("Un detalle de las "&amp;B148&amp;" al "&amp;[1]BALANZA!$B$3&amp;""&amp;[1]BALANZA!$C$3&amp;" es como se detalla a continuación:")</f>
        <v>Un detalle de las Cuentas por cobrar a corto plazo al 31 de MAYO del 2026 - 2025 es como se detalla a continuación:</v>
      </c>
      <c r="C149" s="32"/>
      <c r="D149" s="32"/>
      <c r="E149" s="32"/>
      <c r="L149" s="2" t="s">
        <v>112</v>
      </c>
    </row>
    <row r="150" spans="1:26" ht="51" customHeight="1" x14ac:dyDescent="0.25">
      <c r="A150" s="79"/>
      <c r="B150" s="80" t="str">
        <f>("Las Cuentas por cobrar  están representados por las partidas  Cuentas por cobrar Empleados, Para el "&amp;C151&amp;" el monto total de estas partidas fue por RD$ "&amp;R154&amp;" y para el "&amp;D151&amp;" el monto era RD$ "&amp;R155&amp;"  ,   de Según el siguiente detalle:")</f>
        <v>Las Cuentas por cobrar  están representados por las partidas  Cuentas por cobrar Empleados, Para el 2026 el monto total de estas partidas fue por RD$ 0.00 y para el 2025 el monto era RD$ 0,  ,   de Según el siguiente detalle:</v>
      </c>
      <c r="C150" s="80"/>
      <c r="D150" s="80"/>
      <c r="E150" s="80"/>
    </row>
    <row r="151" spans="1:26" x14ac:dyDescent="0.25">
      <c r="B151" s="33" t="s">
        <v>94</v>
      </c>
      <c r="C151" s="33">
        <f>+C371</f>
        <v>2026</v>
      </c>
      <c r="D151" s="33">
        <f>+D371</f>
        <v>2025</v>
      </c>
      <c r="E151" s="33" t="s">
        <v>95</v>
      </c>
    </row>
    <row r="152" spans="1:26" x14ac:dyDescent="0.25">
      <c r="B152" s="41" t="s">
        <v>113</v>
      </c>
      <c r="C152" s="81">
        <f>+'[1]BALANZA G'!C34-C153</f>
        <v>0</v>
      </c>
      <c r="D152" s="82">
        <v>0</v>
      </c>
      <c r="E152" s="83">
        <f>+C152-D152</f>
        <v>0</v>
      </c>
    </row>
    <row r="153" spans="1:26" x14ac:dyDescent="0.25">
      <c r="B153" s="41" t="s">
        <v>114</v>
      </c>
      <c r="C153" s="84">
        <f>+'[1]BALANZA G'!C35</f>
        <v>0</v>
      </c>
      <c r="D153" s="39">
        <f>+'[1]BALANZA G'!D35</f>
        <v>0</v>
      </c>
      <c r="E153" s="83">
        <f>+C153-D153</f>
        <v>0</v>
      </c>
    </row>
    <row r="154" spans="1:26" x14ac:dyDescent="0.25">
      <c r="B154" s="85" t="s">
        <v>115</v>
      </c>
      <c r="C154" s="47">
        <f>SUM(C152:C153)</f>
        <v>0</v>
      </c>
      <c r="D154" s="47">
        <f>SUM(D152:D153)</f>
        <v>0</v>
      </c>
      <c r="E154" s="47">
        <f>SUM(E152:E153)</f>
        <v>0</v>
      </c>
      <c r="R154" s="4" t="str">
        <f>+CONCATENATE(S154,".00",T154,U154,"")</f>
        <v>0.00</v>
      </c>
      <c r="S154" s="4" t="str">
        <f>MID(C154,1,1)</f>
        <v>0</v>
      </c>
      <c r="T154" s="4" t="str">
        <f>MID(C154,2,3)</f>
        <v/>
      </c>
      <c r="U154" s="4" t="str">
        <f>MID(C154,5,3)</f>
        <v/>
      </c>
      <c r="V154" s="4" t="str">
        <f>MID(C154,9,3)</f>
        <v/>
      </c>
    </row>
    <row r="155" spans="1:26" x14ac:dyDescent="0.25">
      <c r="B155" s="86"/>
      <c r="C155" s="87"/>
      <c r="D155" s="88"/>
      <c r="E155" s="89"/>
      <c r="R155" s="4" t="str">
        <f>+CONCATENATE(S155,",",T155,U155,V155,"")</f>
        <v>0,</v>
      </c>
      <c r="S155" s="4" t="str">
        <f>MID(D154,1,1)</f>
        <v>0</v>
      </c>
      <c r="T155" s="4" t="str">
        <f>MID(D154,2,3)</f>
        <v/>
      </c>
      <c r="U155" s="4" t="str">
        <f>MID(D154,5,2)</f>
        <v/>
      </c>
    </row>
    <row r="156" spans="1:26" s="45" customFormat="1" x14ac:dyDescent="0.25">
      <c r="B156" s="55" t="str">
        <f>("Cambio porcentual con relación al "&amp;$D$118&amp;".")</f>
        <v>Cambio porcentual con relación al 2025.</v>
      </c>
      <c r="C156" s="56"/>
      <c r="D156" s="57" t="str">
        <f>IF(E156&gt;=0,"Aumento","Disminución")</f>
        <v>Aumento</v>
      </c>
      <c r="E156" s="90">
        <f>IFERROR(+E154/D154,0)</f>
        <v>0</v>
      </c>
      <c r="J156" s="49"/>
      <c r="K156" s="49"/>
      <c r="N156" s="49"/>
      <c r="R156" s="50"/>
      <c r="S156" s="50"/>
      <c r="T156" s="50"/>
      <c r="U156" s="50"/>
      <c r="V156" s="50"/>
      <c r="W156" s="50"/>
      <c r="X156" s="50"/>
      <c r="Y156" s="50"/>
      <c r="Z156" s="49"/>
    </row>
    <row r="157" spans="1:26" ht="9" customHeight="1" x14ac:dyDescent="0.25">
      <c r="B157" s="91"/>
    </row>
    <row r="158" spans="1:26" ht="80.25" customHeight="1" x14ac:dyDescent="0.25">
      <c r="B158" s="92" t="s">
        <v>116</v>
      </c>
      <c r="C158" s="92"/>
      <c r="D158" s="92"/>
      <c r="E158" s="92"/>
    </row>
    <row r="159" spans="1:26" x14ac:dyDescent="0.25">
      <c r="B159" s="91"/>
    </row>
    <row r="160" spans="1:26" x14ac:dyDescent="0.25">
      <c r="B160" s="64" t="s">
        <v>117</v>
      </c>
      <c r="C160" s="64"/>
      <c r="D160" s="64"/>
      <c r="E160" s="64"/>
    </row>
    <row r="161" spans="2:26" x14ac:dyDescent="0.25">
      <c r="B161" s="64" t="s">
        <v>118</v>
      </c>
      <c r="C161" s="64"/>
      <c r="D161" s="64"/>
      <c r="E161" s="64"/>
    </row>
    <row r="162" spans="2:26" ht="18.75" customHeight="1" x14ac:dyDescent="0.25">
      <c r="B162" s="14" t="str">
        <f>("Un detalle de las "&amp;B161&amp;" al "&amp;[1]BALANZA!$B$3&amp;""&amp;[1]BALANZA!$C$3&amp;" es como se detalla a continuación:")</f>
        <v>Un detalle de las Inventario al 31 de MAYO del 2026 - 2025 es como se detalla a continuación:</v>
      </c>
      <c r="C162" s="32"/>
      <c r="D162" s="32"/>
      <c r="E162" s="32"/>
    </row>
    <row r="163" spans="2:26" ht="36" customHeight="1" x14ac:dyDescent="0.25">
      <c r="B163" s="21" t="str">
        <f>("Los  inventarios están representados por las partidas de materiales en existencia, Para el "&amp;[1]BALANZA!B4&amp;" RD$ "&amp;R168&amp;" y para el "&amp;[1]BALANZA!C4&amp;" RD$ "&amp;R169&amp;", Según el siguiente detalle:")</f>
        <v>Los  inventarios están representados por las partidas de materiales en existencia, Para el 2026 RD$ 12,735,160.02 y para el 2025 RD$ 15,776,376.33, Según el siguiente detalle:</v>
      </c>
      <c r="C163" s="21"/>
      <c r="D163" s="21"/>
      <c r="E163" s="21"/>
    </row>
    <row r="164" spans="2:26" ht="7.5" customHeight="1" x14ac:dyDescent="0.25">
      <c r="B164" s="91"/>
    </row>
    <row r="165" spans="2:26" x14ac:dyDescent="0.25">
      <c r="B165" s="33" t="s">
        <v>94</v>
      </c>
      <c r="C165" s="33">
        <f>+C371</f>
        <v>2026</v>
      </c>
      <c r="D165" s="33">
        <f>+D371</f>
        <v>2025</v>
      </c>
      <c r="E165" s="33" t="s">
        <v>95</v>
      </c>
    </row>
    <row r="166" spans="2:26" hidden="1" x14ac:dyDescent="0.25">
      <c r="B166" s="41" t="s">
        <v>107</v>
      </c>
      <c r="C166" s="84">
        <f>+'[1]BALANZA G'!C40</f>
        <v>0</v>
      </c>
      <c r="D166" s="39">
        <f>+'[1]BALANZA G'!D40</f>
        <v>0</v>
      </c>
      <c r="E166" s="93">
        <f>+C166-D166</f>
        <v>0</v>
      </c>
    </row>
    <row r="167" spans="2:26" ht="30" x14ac:dyDescent="0.25">
      <c r="B167" s="41" t="s">
        <v>119</v>
      </c>
      <c r="C167" s="84">
        <f>+'[1]BALANZA G'!C41</f>
        <v>12735160.02</v>
      </c>
      <c r="D167" s="94">
        <f>+'[1]BALANZA G'!D41</f>
        <v>15776376.33</v>
      </c>
      <c r="E167" s="95">
        <f>+C167-D167</f>
        <v>-3041216.3100000005</v>
      </c>
    </row>
    <row r="168" spans="2:26" x14ac:dyDescent="0.25">
      <c r="B168" s="85" t="s">
        <v>120</v>
      </c>
      <c r="C168" s="47">
        <f>SUM(C166:C167)</f>
        <v>12735160.02</v>
      </c>
      <c r="D168" s="96">
        <f>SUM(D166:D167)</f>
        <v>15776376.33</v>
      </c>
      <c r="E168" s="47">
        <f>SUM(E166:E167)</f>
        <v>-3041216.3100000005</v>
      </c>
      <c r="R168" s="4" t="str">
        <f>+CONCATENATE(S168,",",T168,",",U168,V168,AB168,"")</f>
        <v>12,735,160.02</v>
      </c>
      <c r="S168" s="4" t="str">
        <f>MID(C168,1,2)</f>
        <v>12</v>
      </c>
      <c r="T168" s="4" t="str">
        <f>MID(C168,3,3)</f>
        <v>735</v>
      </c>
      <c r="U168" s="4" t="str">
        <f>MID(C168,6,3)</f>
        <v>160</v>
      </c>
      <c r="V168" s="4" t="str">
        <f>MID(C168,9,3)</f>
        <v>.02</v>
      </c>
    </row>
    <row r="169" spans="2:26" x14ac:dyDescent="0.25">
      <c r="B169" s="86"/>
      <c r="C169" s="97">
        <f>+C168-'[1]ES F '!B15</f>
        <v>0</v>
      </c>
      <c r="D169" s="88"/>
      <c r="E169" s="89"/>
      <c r="R169" s="4" t="str">
        <f>+CONCATENATE(S169,",",T169,",",U169,V169,"")</f>
        <v>15,776,376.33</v>
      </c>
      <c r="S169" s="4" t="str">
        <f>MID(D168,1,2)</f>
        <v>15</v>
      </c>
      <c r="T169" s="4" t="str">
        <f>MID(D168,3,3)</f>
        <v>776</v>
      </c>
      <c r="U169" s="4" t="str">
        <f>MID(D168,6,3)</f>
        <v>376</v>
      </c>
      <c r="V169" s="4" t="str">
        <f>MID(D168,9,3)</f>
        <v>.33</v>
      </c>
    </row>
    <row r="170" spans="2:26" s="45" customFormat="1" x14ac:dyDescent="0.25">
      <c r="B170" s="55" t="str">
        <f>("Cambio porcentual con relación al "&amp;$D$118&amp;".")</f>
        <v>Cambio porcentual con relación al 2025.</v>
      </c>
      <c r="C170" s="56"/>
      <c r="D170" s="57" t="str">
        <f>IF(E170&gt;=0,"Aumento","Disminución")</f>
        <v>Disminución</v>
      </c>
      <c r="E170" s="90">
        <f>IFERROR((+E168/D168),0)</f>
        <v>-0.19277026906469596</v>
      </c>
      <c r="J170" s="49"/>
      <c r="K170" s="49"/>
      <c r="N170" s="49"/>
      <c r="R170" s="50"/>
      <c r="S170" s="50"/>
      <c r="T170" s="50"/>
      <c r="U170" s="50"/>
      <c r="V170" s="50"/>
      <c r="W170" s="50"/>
      <c r="X170" s="50"/>
      <c r="Y170" s="50"/>
      <c r="Z170" s="49"/>
    </row>
    <row r="171" spans="2:26" s="45" customFormat="1" x14ac:dyDescent="0.25">
      <c r="B171" s="59"/>
      <c r="C171" s="59"/>
      <c r="D171" s="60"/>
      <c r="E171" s="63"/>
      <c r="J171" s="49"/>
      <c r="K171" s="49"/>
      <c r="N171" s="49"/>
      <c r="R171" s="50"/>
      <c r="S171" s="50"/>
      <c r="T171" s="50"/>
      <c r="U171" s="50"/>
      <c r="V171" s="50"/>
      <c r="W171" s="50"/>
      <c r="X171" s="50"/>
      <c r="Y171" s="50"/>
      <c r="Z171" s="49"/>
    </row>
    <row r="172" spans="2:26" s="45" customFormat="1" x14ac:dyDescent="0.25">
      <c r="B172" s="59"/>
      <c r="C172" s="59"/>
      <c r="D172" s="60"/>
      <c r="E172" s="63"/>
      <c r="J172" s="49"/>
      <c r="K172" s="49"/>
      <c r="N172" s="49"/>
      <c r="R172" s="50"/>
      <c r="S172" s="50"/>
      <c r="T172" s="50"/>
      <c r="U172" s="50"/>
      <c r="V172" s="50"/>
      <c r="W172" s="50"/>
      <c r="X172" s="50"/>
      <c r="Y172" s="50"/>
      <c r="Z172" s="49"/>
    </row>
    <row r="173" spans="2:26" s="45" customFormat="1" x14ac:dyDescent="0.25">
      <c r="B173" s="59"/>
      <c r="C173" s="59"/>
      <c r="D173" s="60"/>
      <c r="E173" s="63"/>
      <c r="J173" s="49"/>
      <c r="K173" s="49"/>
      <c r="N173" s="49"/>
      <c r="R173" s="50"/>
      <c r="S173" s="50"/>
      <c r="T173" s="50"/>
      <c r="U173" s="50"/>
      <c r="V173" s="50"/>
      <c r="W173" s="50"/>
      <c r="X173" s="50"/>
      <c r="Y173" s="50"/>
      <c r="Z173" s="49"/>
    </row>
    <row r="174" spans="2:26" s="45" customFormat="1" x14ac:dyDescent="0.25">
      <c r="B174" s="59"/>
      <c r="C174" s="59"/>
      <c r="D174" s="60"/>
      <c r="E174" s="63"/>
      <c r="J174" s="49"/>
      <c r="K174" s="49"/>
      <c r="N174" s="49"/>
      <c r="R174" s="50"/>
      <c r="S174" s="50"/>
      <c r="T174" s="50"/>
      <c r="U174" s="50"/>
      <c r="V174" s="50"/>
      <c r="W174" s="50"/>
      <c r="X174" s="50"/>
      <c r="Y174" s="50"/>
      <c r="Z174" s="49"/>
    </row>
    <row r="175" spans="2:26" s="45" customFormat="1" x14ac:dyDescent="0.25">
      <c r="B175" s="59"/>
      <c r="C175" s="59"/>
      <c r="D175" s="60"/>
      <c r="E175" s="63"/>
      <c r="J175" s="49"/>
      <c r="K175" s="49"/>
      <c r="N175" s="49"/>
      <c r="R175" s="50"/>
      <c r="S175" s="50"/>
      <c r="T175" s="50"/>
      <c r="U175" s="50"/>
      <c r="V175" s="50"/>
      <c r="W175" s="50"/>
      <c r="X175" s="50"/>
      <c r="Y175" s="50"/>
      <c r="Z175" s="49"/>
    </row>
    <row r="176" spans="2:26" s="45" customFormat="1" x14ac:dyDescent="0.25">
      <c r="B176" s="59"/>
      <c r="C176" s="59"/>
      <c r="D176" s="60"/>
      <c r="E176" s="63"/>
      <c r="J176" s="49"/>
      <c r="K176" s="49"/>
      <c r="N176" s="49"/>
      <c r="R176" s="50"/>
      <c r="S176" s="50"/>
      <c r="T176" s="50"/>
      <c r="U176" s="50"/>
      <c r="V176" s="50"/>
      <c r="W176" s="50"/>
      <c r="X176" s="50"/>
      <c r="Y176" s="50"/>
      <c r="Z176" s="49"/>
    </row>
    <row r="177" spans="2:26" s="45" customFormat="1" x14ac:dyDescent="0.25">
      <c r="B177" s="59"/>
      <c r="C177" s="59"/>
      <c r="D177" s="60"/>
      <c r="E177" s="63"/>
      <c r="J177" s="49"/>
      <c r="K177" s="49"/>
      <c r="N177" s="49"/>
      <c r="R177" s="50"/>
      <c r="S177" s="50"/>
      <c r="T177" s="50"/>
      <c r="U177" s="50"/>
      <c r="V177" s="50"/>
      <c r="W177" s="50"/>
      <c r="X177" s="50"/>
      <c r="Y177" s="50"/>
      <c r="Z177" s="49"/>
    </row>
    <row r="178" spans="2:26" s="45" customFormat="1" x14ac:dyDescent="0.25">
      <c r="B178" s="59"/>
      <c r="C178" s="59"/>
      <c r="D178" s="60"/>
      <c r="E178" s="63"/>
      <c r="J178" s="49"/>
      <c r="K178" s="49"/>
      <c r="N178" s="49"/>
      <c r="R178" s="50"/>
      <c r="S178" s="50"/>
      <c r="T178" s="50"/>
      <c r="U178" s="50"/>
      <c r="V178" s="50"/>
      <c r="W178" s="50"/>
      <c r="X178" s="50"/>
      <c r="Y178" s="50"/>
      <c r="Z178" s="49"/>
    </row>
    <row r="179" spans="2:26" s="45" customFormat="1" x14ac:dyDescent="0.25">
      <c r="B179" s="59"/>
      <c r="C179" s="59"/>
      <c r="D179" s="60"/>
      <c r="E179" s="63"/>
      <c r="J179" s="49"/>
      <c r="K179" s="49"/>
      <c r="N179" s="49"/>
      <c r="R179" s="50"/>
      <c r="S179" s="50"/>
      <c r="T179" s="50"/>
      <c r="U179" s="50"/>
      <c r="V179" s="50"/>
      <c r="W179" s="50"/>
      <c r="X179" s="50"/>
      <c r="Y179" s="50"/>
      <c r="Z179" s="49"/>
    </row>
    <row r="180" spans="2:26" s="45" customFormat="1" x14ac:dyDescent="0.25">
      <c r="B180" s="59"/>
      <c r="C180" s="59"/>
      <c r="D180" s="60"/>
      <c r="E180" s="63"/>
      <c r="J180" s="49"/>
      <c r="K180" s="49"/>
      <c r="N180" s="49"/>
      <c r="R180" s="50"/>
      <c r="S180" s="50"/>
      <c r="T180" s="50"/>
      <c r="U180" s="50"/>
      <c r="V180" s="50"/>
      <c r="W180" s="50"/>
      <c r="X180" s="50"/>
      <c r="Y180" s="50"/>
      <c r="Z180" s="49"/>
    </row>
    <row r="181" spans="2:26" s="45" customFormat="1" x14ac:dyDescent="0.25">
      <c r="B181" s="59"/>
      <c r="C181" s="59"/>
      <c r="D181" s="60"/>
      <c r="E181" s="63"/>
      <c r="J181" s="49"/>
      <c r="K181" s="49"/>
      <c r="N181" s="49"/>
      <c r="R181" s="50"/>
      <c r="S181" s="50"/>
      <c r="T181" s="50"/>
      <c r="U181" s="50"/>
      <c r="V181" s="50"/>
      <c r="W181" s="50"/>
      <c r="X181" s="50"/>
      <c r="Y181" s="50"/>
      <c r="Z181" s="49"/>
    </row>
    <row r="182" spans="2:26" s="45" customFormat="1" x14ac:dyDescent="0.25">
      <c r="B182" s="59"/>
      <c r="C182" s="59"/>
      <c r="D182" s="60"/>
      <c r="E182" s="63"/>
      <c r="J182" s="49"/>
      <c r="K182" s="49"/>
      <c r="N182" s="49"/>
      <c r="R182" s="50"/>
      <c r="S182" s="50"/>
      <c r="T182" s="50"/>
      <c r="U182" s="50"/>
      <c r="V182" s="50"/>
      <c r="W182" s="50"/>
      <c r="X182" s="50"/>
      <c r="Y182" s="50"/>
      <c r="Z182" s="49"/>
    </row>
    <row r="183" spans="2:26" s="45" customFormat="1" x14ac:dyDescent="0.25">
      <c r="B183" s="59"/>
      <c r="C183" s="59"/>
      <c r="D183" s="60"/>
      <c r="E183" s="63"/>
      <c r="J183" s="49"/>
      <c r="K183" s="49"/>
      <c r="N183" s="49"/>
      <c r="R183" s="50"/>
      <c r="S183" s="50"/>
      <c r="T183" s="50"/>
      <c r="U183" s="50"/>
      <c r="V183" s="50"/>
      <c r="W183" s="50"/>
      <c r="X183" s="50"/>
      <c r="Y183" s="50"/>
      <c r="Z183" s="49"/>
    </row>
    <row r="184" spans="2:26" x14ac:dyDescent="0.25">
      <c r="B184" s="91"/>
    </row>
    <row r="185" spans="2:26" ht="16.5" customHeight="1" x14ac:dyDescent="0.25">
      <c r="B185" s="21"/>
      <c r="C185" s="21"/>
      <c r="D185" s="21"/>
      <c r="E185" s="21"/>
    </row>
    <row r="186" spans="2:26" ht="16.5" customHeight="1" x14ac:dyDescent="0.25">
      <c r="B186" s="16"/>
      <c r="C186" s="16"/>
      <c r="D186" s="16"/>
      <c r="E186" s="16"/>
    </row>
    <row r="187" spans="2:26" ht="16.5" customHeight="1" x14ac:dyDescent="0.25">
      <c r="B187" s="16"/>
      <c r="C187" s="16"/>
      <c r="D187" s="16"/>
      <c r="E187" s="16"/>
    </row>
    <row r="188" spans="2:26" ht="16.5" customHeight="1" x14ac:dyDescent="0.25">
      <c r="B188" s="16"/>
      <c r="C188" s="16"/>
      <c r="D188" s="16"/>
      <c r="E188" s="16"/>
    </row>
    <row r="189" spans="2:26" ht="16.5" customHeight="1" x14ac:dyDescent="0.25">
      <c r="B189" s="65" t="s">
        <v>121</v>
      </c>
      <c r="C189" s="16"/>
      <c r="D189" s="98"/>
      <c r="E189" s="16"/>
    </row>
    <row r="190" spans="2:26" ht="16.5" customHeight="1" x14ac:dyDescent="0.25">
      <c r="B190" s="65" t="s">
        <v>122</v>
      </c>
      <c r="C190" s="16"/>
      <c r="D190" s="98"/>
      <c r="E190" s="16"/>
    </row>
    <row r="191" spans="2:26" ht="27.75" customHeight="1" x14ac:dyDescent="0.25">
      <c r="B191" s="14" t="str">
        <f>("Un detalle del "&amp;B190&amp;" al "&amp;[1]BALANZA!$B$3&amp;" "&amp;[1]BALANZA!$C$3&amp;" es como se detalla a continuación:")</f>
        <v>Un detalle del Pagos anticipados al 31 de MAYO del 2026  - 2025 es como se detalla a continuación:</v>
      </c>
      <c r="C191" s="32"/>
      <c r="D191" s="32"/>
      <c r="E191" s="32"/>
    </row>
    <row r="192" spans="2:26" ht="41.25" customHeight="1" x14ac:dyDescent="0.25">
      <c r="B192" s="21" t="str">
        <f>("Los  pagos anticipados están representados por las partidas de seguros pagados por adelantado, Para el "&amp;[1]BALANZA!B4&amp;" el monto ascendio  a RD$ "&amp;R200&amp;" y para el "&amp;[1]BALANZA!C4&amp;" el monto era RD$ "&amp;R201&amp;", Según el siguiente detalle:")</f>
        <v>Los  pagos anticipados están representados por las partidas de seguros pagados por adelantado, Para el 2026 el monto ascendio  a RD$ 217,132.89 y para el 2025 el monto era RD$ 488,548.94, Según el siguiente detalle:</v>
      </c>
      <c r="C192" s="21"/>
      <c r="D192" s="21"/>
      <c r="E192" s="21"/>
    </row>
    <row r="193" spans="2:26" x14ac:dyDescent="0.25">
      <c r="B193" s="91"/>
    </row>
    <row r="194" spans="2:26" x14ac:dyDescent="0.25">
      <c r="B194" s="33" t="s">
        <v>94</v>
      </c>
      <c r="C194" s="36">
        <f>+C165</f>
        <v>2026</v>
      </c>
      <c r="D194" s="36">
        <f>+D165</f>
        <v>2025</v>
      </c>
      <c r="E194" s="33" t="s">
        <v>95</v>
      </c>
    </row>
    <row r="195" spans="2:26" ht="15" customHeight="1" x14ac:dyDescent="0.25">
      <c r="B195" s="41" t="s">
        <v>123</v>
      </c>
      <c r="C195" s="84">
        <f>+D199</f>
        <v>488548.94</v>
      </c>
      <c r="D195" s="39">
        <f>+D199-D197-D196</f>
        <v>907330.37999999989</v>
      </c>
      <c r="E195" s="83">
        <f>+C195-D195</f>
        <v>-418781.43999999989</v>
      </c>
    </row>
    <row r="196" spans="2:26" ht="15" customHeight="1" x14ac:dyDescent="0.25">
      <c r="B196" s="41" t="s">
        <v>124</v>
      </c>
      <c r="C196" s="99">
        <f>+C199-C195-C197</f>
        <v>286377.58</v>
      </c>
      <c r="D196" s="39">
        <f>205890.43+32007.08</f>
        <v>237897.51</v>
      </c>
      <c r="E196" s="83">
        <f>+C196-D196</f>
        <v>48480.070000000007</v>
      </c>
    </row>
    <row r="197" spans="2:26" ht="15" customHeight="1" x14ac:dyDescent="0.25">
      <c r="B197" s="41" t="s">
        <v>125</v>
      </c>
      <c r="C197" s="100">
        <f>-'[1]Notas NF'!C609</f>
        <v>-557793.63</v>
      </c>
      <c r="D197" s="100">
        <f>-'[1]Notas NF'!D609</f>
        <v>-656678.94999999995</v>
      </c>
      <c r="E197" s="83">
        <f>+C197-D197</f>
        <v>98885.319999999949</v>
      </c>
      <c r="U197" s="101"/>
    </row>
    <row r="198" spans="2:26" ht="15" customHeight="1" x14ac:dyDescent="0.25">
      <c r="B198" s="41"/>
      <c r="C198" s="84"/>
      <c r="D198" s="84"/>
      <c r="E198" s="83"/>
    </row>
    <row r="199" spans="2:26" x14ac:dyDescent="0.25">
      <c r="B199" s="41" t="s">
        <v>126</v>
      </c>
      <c r="C199" s="84">
        <f>+'[1]BALANZA G'!C48</f>
        <v>217132.89</v>
      </c>
      <c r="D199" s="94">
        <f>+'[1]BALANZA G'!D48</f>
        <v>488548.94</v>
      </c>
      <c r="E199" s="83">
        <f>+C199-D199</f>
        <v>-271416.05</v>
      </c>
    </row>
    <row r="200" spans="2:26" x14ac:dyDescent="0.25">
      <c r="B200" s="85" t="s">
        <v>127</v>
      </c>
      <c r="C200" s="47">
        <f>SUM(C199:C199)</f>
        <v>217132.89</v>
      </c>
      <c r="D200" s="47">
        <f>SUM(D199:D199)</f>
        <v>488548.94</v>
      </c>
      <c r="E200" s="102">
        <f>+C200-D200</f>
        <v>-271416.05</v>
      </c>
      <c r="R200" s="4" t="str">
        <f>+CONCATENATE(S200,",",T200,U200,"")</f>
        <v>217,132.89</v>
      </c>
      <c r="S200" s="4" t="str">
        <f>MID(C200,1,3)</f>
        <v>217</v>
      </c>
      <c r="T200" s="4" t="str">
        <f>MID(C200,4,3)</f>
        <v>132</v>
      </c>
      <c r="U200" s="4" t="str">
        <f>MID(C200,7,3)</f>
        <v>.89</v>
      </c>
    </row>
    <row r="201" spans="2:26" x14ac:dyDescent="0.25">
      <c r="B201" s="103"/>
      <c r="C201" s="104">
        <f>+C200-'[1]ES F '!B16</f>
        <v>0</v>
      </c>
      <c r="D201" s="105"/>
      <c r="E201" s="106"/>
      <c r="R201" s="4" t="str">
        <f>+CONCATENATE(S201,",",T201,U201)</f>
        <v>488,548.94</v>
      </c>
      <c r="S201" s="4" t="str">
        <f>MID(D200,1,3)</f>
        <v>488</v>
      </c>
      <c r="T201" s="4" t="str">
        <f>MID(D200,4,3)</f>
        <v>548</v>
      </c>
      <c r="U201" s="4" t="str">
        <f>MID(D200,7,3)</f>
        <v>.94</v>
      </c>
    </row>
    <row r="202" spans="2:26" s="45" customFormat="1" x14ac:dyDescent="0.25">
      <c r="B202" s="55" t="str">
        <f>("Cambio porcentual con relación al "&amp;$D$118&amp;".")</f>
        <v>Cambio porcentual con relación al 2025.</v>
      </c>
      <c r="C202" s="56"/>
      <c r="D202" s="57" t="str">
        <f>IF(E202&gt;=0,"Aumento","Disminución")</f>
        <v>Disminución</v>
      </c>
      <c r="E202" s="90">
        <f>IFERROR((+E200/D200),0)</f>
        <v>-0.55555549869783771</v>
      </c>
      <c r="J202" s="49"/>
      <c r="K202" s="49"/>
      <c r="N202" s="49"/>
      <c r="R202" s="50"/>
      <c r="S202" s="50"/>
      <c r="T202" s="50"/>
      <c r="U202" s="50"/>
      <c r="V202" s="50"/>
      <c r="W202" s="50"/>
      <c r="X202" s="50"/>
      <c r="Y202" s="50"/>
      <c r="Z202" s="49"/>
    </row>
    <row r="203" spans="2:26" ht="16.5" customHeight="1" x14ac:dyDescent="0.25">
      <c r="B203" s="65"/>
      <c r="C203" s="16"/>
      <c r="D203" s="98"/>
      <c r="E203" s="16"/>
    </row>
    <row r="204" spans="2:26" ht="16.5" customHeight="1" x14ac:dyDescent="0.25">
      <c r="B204" s="65"/>
      <c r="C204" s="107"/>
      <c r="D204" s="98"/>
      <c r="E204" s="16"/>
    </row>
    <row r="205" spans="2:26" ht="14.25" customHeight="1" x14ac:dyDescent="0.25">
      <c r="B205" s="65" t="s">
        <v>128</v>
      </c>
      <c r="C205" s="107"/>
      <c r="D205" s="98"/>
      <c r="E205" s="16"/>
    </row>
    <row r="206" spans="2:26" x14ac:dyDescent="0.25">
      <c r="B206" s="65" t="s">
        <v>129</v>
      </c>
    </row>
    <row r="207" spans="2:26" ht="28.5" customHeight="1" x14ac:dyDescent="0.25">
      <c r="B207" s="14" t="str">
        <f>("Un detalle de "&amp;B206&amp;" al "&amp;[1]BALANZA!$B$3&amp;" "&amp;[1]BALANZA!$C$3&amp;" es como se detalla a continuación:")</f>
        <v>Un detalle de Otros activos corrientes al 31 de MAYO del 2026  - 2025 es como se detalla a continuación:</v>
      </c>
      <c r="C207" s="32"/>
      <c r="D207" s="32"/>
      <c r="E207" s="32"/>
    </row>
    <row r="208" spans="2:26" ht="49.5" customHeight="1" x14ac:dyDescent="0.25">
      <c r="B208" s="21" t="str">
        <f>("Los depósitos o fianzas por los alquileres de locales de CORAAMOCA, vigentes, están registrado en el Estado de Balance General, dentro  de la partida de otros activos, en  periodos "&amp;[1]BALANZA!B4&amp;" el valor estaba en RD$ "&amp;R226&amp;".  Según detalles:")</f>
        <v>Los depósitos o fianzas por los alquileres de locales de CORAAMOCA, vigentes, están registrado en el Estado de Balance General, dentro  de la partida de otros activos, en  periodos 2026 el valor estaba en RD$ 0.00.  Según detalles:</v>
      </c>
      <c r="C208" s="21"/>
      <c r="D208" s="21"/>
      <c r="E208" s="21"/>
    </row>
    <row r="209" spans="2:26" ht="37.5" customHeight="1" x14ac:dyDescent="0.25">
      <c r="B209" s="21" t="s">
        <v>130</v>
      </c>
      <c r="C209" s="21"/>
      <c r="D209" s="21"/>
      <c r="E209" s="21"/>
    </row>
    <row r="210" spans="2:26" ht="14.25" customHeight="1" x14ac:dyDescent="0.25">
      <c r="B210" s="108"/>
    </row>
    <row r="211" spans="2:26" s="109" customFormat="1" ht="19.5" hidden="1" customHeight="1" x14ac:dyDescent="0.25">
      <c r="B211" s="33" t="s">
        <v>131</v>
      </c>
      <c r="C211" s="33" t="s">
        <v>132</v>
      </c>
      <c r="D211" s="110" t="s">
        <v>133</v>
      </c>
      <c r="E211" s="34" t="s">
        <v>134</v>
      </c>
      <c r="J211" s="111"/>
      <c r="K211" s="111"/>
      <c r="N211" s="111"/>
      <c r="R211" s="112"/>
      <c r="S211" s="112"/>
      <c r="T211" s="112"/>
      <c r="U211" s="112"/>
      <c r="V211" s="112"/>
      <c r="W211" s="112"/>
      <c r="X211" s="112"/>
      <c r="Y211" s="112"/>
      <c r="Z211" s="111"/>
    </row>
    <row r="212" spans="2:26" hidden="1" x14ac:dyDescent="0.25">
      <c r="B212" s="113" t="s">
        <v>135</v>
      </c>
      <c r="C212" s="114" t="s">
        <v>136</v>
      </c>
      <c r="D212" s="115">
        <v>12000</v>
      </c>
      <c r="E212" s="116">
        <f>+D212</f>
        <v>12000</v>
      </c>
    </row>
    <row r="213" spans="2:26" hidden="1" x14ac:dyDescent="0.25">
      <c r="B213" s="113" t="s">
        <v>137</v>
      </c>
      <c r="C213" s="114" t="s">
        <v>138</v>
      </c>
      <c r="D213" s="115">
        <v>21000</v>
      </c>
      <c r="E213" s="116">
        <f t="shared" ref="E213:E220" si="1">+D213</f>
        <v>21000</v>
      </c>
    </row>
    <row r="214" spans="2:26" hidden="1" x14ac:dyDescent="0.25">
      <c r="B214" s="113" t="s">
        <v>139</v>
      </c>
      <c r="C214" s="114" t="s">
        <v>140</v>
      </c>
      <c r="D214" s="115">
        <v>28500</v>
      </c>
      <c r="E214" s="116">
        <f t="shared" si="1"/>
        <v>28500</v>
      </c>
    </row>
    <row r="215" spans="2:26" hidden="1" x14ac:dyDescent="0.25">
      <c r="B215" s="113" t="s">
        <v>141</v>
      </c>
      <c r="C215" s="114" t="s">
        <v>142</v>
      </c>
      <c r="D215" s="115">
        <v>33336</v>
      </c>
      <c r="E215" s="116">
        <f t="shared" si="1"/>
        <v>33336</v>
      </c>
    </row>
    <row r="216" spans="2:26" hidden="1" x14ac:dyDescent="0.25">
      <c r="B216" s="117" t="s">
        <v>143</v>
      </c>
      <c r="C216" s="118" t="s">
        <v>144</v>
      </c>
      <c r="D216" s="119">
        <v>20000</v>
      </c>
      <c r="E216" s="116">
        <f t="shared" si="1"/>
        <v>20000</v>
      </c>
    </row>
    <row r="217" spans="2:26" hidden="1" x14ac:dyDescent="0.25">
      <c r="B217" s="117" t="s">
        <v>145</v>
      </c>
      <c r="C217" s="118" t="s">
        <v>146</v>
      </c>
      <c r="D217" s="119">
        <v>18000</v>
      </c>
      <c r="E217" s="116">
        <f t="shared" si="1"/>
        <v>18000</v>
      </c>
    </row>
    <row r="218" spans="2:26" hidden="1" x14ac:dyDescent="0.25">
      <c r="B218" s="117" t="s">
        <v>147</v>
      </c>
      <c r="C218" s="118" t="s">
        <v>148</v>
      </c>
      <c r="D218" s="119">
        <v>33336</v>
      </c>
      <c r="E218" s="116">
        <f t="shared" si="1"/>
        <v>33336</v>
      </c>
    </row>
    <row r="219" spans="2:26" hidden="1" x14ac:dyDescent="0.25">
      <c r="B219" s="117" t="s">
        <v>149</v>
      </c>
      <c r="C219" s="118" t="s">
        <v>150</v>
      </c>
      <c r="D219" s="119">
        <v>27000</v>
      </c>
      <c r="E219" s="116">
        <v>27000</v>
      </c>
    </row>
    <row r="220" spans="2:26" hidden="1" x14ac:dyDescent="0.25">
      <c r="B220" s="117"/>
      <c r="C220" s="118"/>
      <c r="D220" s="119"/>
      <c r="E220" s="116">
        <f t="shared" si="1"/>
        <v>0</v>
      </c>
    </row>
    <row r="221" spans="2:26" hidden="1" x14ac:dyDescent="0.25">
      <c r="B221" s="120" t="s">
        <v>151</v>
      </c>
      <c r="C221" s="120"/>
      <c r="D221" s="121"/>
      <c r="E221" s="122">
        <f>SUM(E212:E220)</f>
        <v>193172</v>
      </c>
    </row>
    <row r="222" spans="2:26" hidden="1" x14ac:dyDescent="0.25">
      <c r="B222" s="123"/>
      <c r="C222" s="123"/>
      <c r="D222" s="124"/>
      <c r="E222" s="87">
        <f>+E221-'[1]ES F '!B17</f>
        <v>193172</v>
      </c>
    </row>
    <row r="223" spans="2:26" ht="26.25" customHeight="1" x14ac:dyDescent="0.25">
      <c r="B223" s="33" t="s">
        <v>94</v>
      </c>
      <c r="C223" s="33">
        <f>+C151</f>
        <v>2026</v>
      </c>
      <c r="D223" s="33">
        <f>+D151</f>
        <v>2025</v>
      </c>
      <c r="E223" s="33" t="s">
        <v>95</v>
      </c>
    </row>
    <row r="224" spans="2:26" ht="15.75" hidden="1" customHeight="1" x14ac:dyDescent="0.25">
      <c r="B224" s="41" t="s">
        <v>107</v>
      </c>
      <c r="C224" s="84">
        <v>0</v>
      </c>
      <c r="D224" s="39">
        <v>0</v>
      </c>
      <c r="E224" s="93">
        <f>+C224-D224</f>
        <v>0</v>
      </c>
    </row>
    <row r="225" spans="2:26" x14ac:dyDescent="0.25">
      <c r="B225" s="41" t="s">
        <v>152</v>
      </c>
      <c r="C225" s="94">
        <f>+'[1]BALANZA G'!C46</f>
        <v>0</v>
      </c>
      <c r="D225" s="94">
        <v>0</v>
      </c>
      <c r="E225" s="3">
        <f>+C225-D225</f>
        <v>0</v>
      </c>
    </row>
    <row r="226" spans="2:26" s="125" customFormat="1" x14ac:dyDescent="0.25">
      <c r="B226" s="73" t="s">
        <v>153</v>
      </c>
      <c r="C226" s="74">
        <f>SUM(C224:C225)</f>
        <v>0</v>
      </c>
      <c r="D226" s="74">
        <f>SUM(D224:D225)</f>
        <v>0</v>
      </c>
      <c r="E226" s="74">
        <f>SUM(E224:E225)</f>
        <v>0</v>
      </c>
      <c r="J226" s="126"/>
      <c r="K226" s="126"/>
      <c r="N226" s="126"/>
      <c r="R226" s="4" t="str">
        <f>+CONCATENATE(S226,"",T226,".00")</f>
        <v>0.00</v>
      </c>
      <c r="S226" s="4" t="str">
        <f>MID(C226,1,3)</f>
        <v>0</v>
      </c>
      <c r="T226" s="4" t="str">
        <f>MID(C226,4,3)</f>
        <v/>
      </c>
      <c r="U226" s="4" t="str">
        <f>MID(C226,7,3)</f>
        <v/>
      </c>
      <c r="V226" s="4" t="str">
        <f>MID(C226,9,3)</f>
        <v/>
      </c>
      <c r="W226" s="127"/>
      <c r="X226" s="127"/>
      <c r="Y226" s="127"/>
      <c r="Z226" s="126"/>
    </row>
    <row r="227" spans="2:26" s="125" customFormat="1" x14ac:dyDescent="0.25">
      <c r="B227" s="128"/>
      <c r="C227" s="129">
        <f>+C226-'[1]ES F '!B17</f>
        <v>0</v>
      </c>
      <c r="D227" s="130">
        <f>+D226-'[1]ES F '!C17</f>
        <v>0</v>
      </c>
      <c r="E227" s="129"/>
      <c r="J227" s="126"/>
      <c r="K227" s="126"/>
      <c r="N227" s="126"/>
      <c r="R227" s="4" t="str">
        <f>+CONCATENATE(S227,",",T227,".00")</f>
        <v>0,.00</v>
      </c>
      <c r="S227" s="4" t="str">
        <f>MID(D226,1,3)</f>
        <v>0</v>
      </c>
      <c r="T227" s="4" t="str">
        <f>MID(D226,4,3)</f>
        <v/>
      </c>
      <c r="U227" s="4" t="str">
        <f>MID(D226,7,3)</f>
        <v/>
      </c>
      <c r="V227" s="4" t="str">
        <f>MID(D226,8,3)</f>
        <v/>
      </c>
      <c r="W227" s="127"/>
      <c r="X227" s="127"/>
      <c r="Y227" s="127"/>
      <c r="Z227" s="126"/>
    </row>
    <row r="228" spans="2:26" s="131" customFormat="1" x14ac:dyDescent="0.25">
      <c r="B228" s="55" t="str">
        <f>("Cambio porcentual con relación al "&amp;$D$118&amp;".")</f>
        <v>Cambio porcentual con relación al 2025.</v>
      </c>
      <c r="C228" s="56"/>
      <c r="D228" s="132" t="str">
        <f>IF(E228&gt;=0,"Aumento","Disminución")</f>
        <v>Aumento</v>
      </c>
      <c r="E228" s="133">
        <f>IFERROR((+E226/D226),0)</f>
        <v>0</v>
      </c>
      <c r="J228" s="134"/>
      <c r="K228" s="134"/>
      <c r="N228" s="134"/>
      <c r="R228" s="135"/>
      <c r="S228" s="135"/>
      <c r="T228" s="135"/>
      <c r="U228" s="135"/>
      <c r="V228" s="135"/>
      <c r="W228" s="135"/>
      <c r="X228" s="135"/>
      <c r="Y228" s="135"/>
      <c r="Z228" s="134"/>
    </row>
    <row r="229" spans="2:26" s="131" customFormat="1" x14ac:dyDescent="0.25">
      <c r="B229" s="136"/>
      <c r="C229" s="136"/>
      <c r="D229" s="137"/>
      <c r="E229" s="138"/>
      <c r="J229" s="134"/>
      <c r="K229" s="134"/>
      <c r="N229" s="134"/>
      <c r="R229" s="135"/>
      <c r="S229" s="135"/>
      <c r="T229" s="135"/>
      <c r="U229" s="135"/>
      <c r="V229" s="135"/>
      <c r="W229" s="135"/>
      <c r="X229" s="135"/>
      <c r="Y229" s="135"/>
      <c r="Z229" s="134"/>
    </row>
    <row r="230" spans="2:26" x14ac:dyDescent="0.25">
      <c r="B230" s="11"/>
    </row>
    <row r="231" spans="2:26" x14ac:dyDescent="0.25">
      <c r="B231" s="11"/>
    </row>
    <row r="232" spans="2:26" x14ac:dyDescent="0.25">
      <c r="B232" s="11"/>
    </row>
    <row r="233" spans="2:26" x14ac:dyDescent="0.25">
      <c r="B233" s="11"/>
    </row>
    <row r="234" spans="2:26" x14ac:dyDescent="0.25">
      <c r="B234" s="11"/>
    </row>
    <row r="235" spans="2:26" x14ac:dyDescent="0.25">
      <c r="B235" s="11"/>
    </row>
    <row r="236" spans="2:26" x14ac:dyDescent="0.25">
      <c r="B236" s="11"/>
    </row>
    <row r="237" spans="2:26" x14ac:dyDescent="0.25">
      <c r="B237" s="11"/>
    </row>
    <row r="238" spans="2:26" x14ac:dyDescent="0.25">
      <c r="B238" s="11"/>
    </row>
    <row r="239" spans="2:26" x14ac:dyDescent="0.25">
      <c r="B239" s="11"/>
    </row>
    <row r="240" spans="2:26" x14ac:dyDescent="0.25">
      <c r="B240" s="11"/>
    </row>
    <row r="241" spans="2:5" x14ac:dyDescent="0.25">
      <c r="B241" s="11"/>
    </row>
    <row r="242" spans="2:5" x14ac:dyDescent="0.25">
      <c r="B242" s="11"/>
    </row>
    <row r="243" spans="2:5" x14ac:dyDescent="0.25">
      <c r="B243" s="11"/>
    </row>
    <row r="244" spans="2:5" x14ac:dyDescent="0.25">
      <c r="B244" s="11" t="s">
        <v>154</v>
      </c>
    </row>
    <row r="245" spans="2:5" ht="19.5" customHeight="1" x14ac:dyDescent="0.25">
      <c r="B245" s="12" t="s">
        <v>155</v>
      </c>
      <c r="C245" s="12"/>
      <c r="D245" s="12"/>
      <c r="E245" s="12"/>
    </row>
    <row r="246" spans="2:5" ht="19.5" customHeight="1" x14ac:dyDescent="0.25">
      <c r="B246" s="14" t="str">
        <f>("Un detalle de "&amp;B245&amp;" al "&amp;[1]BALANZA!$B$3&amp;" "&amp;[1]BALANZA!$C$3&amp;" es como se detalla a continuación:")</f>
        <v>Un detalle de Propiedad planta y equipo al 31 de MAYO del 2026  - 2025 es como se detalla a continuación:</v>
      </c>
      <c r="C246" s="32"/>
      <c r="D246" s="32"/>
      <c r="E246" s="32"/>
    </row>
    <row r="247" spans="2:5" ht="19.5" customHeight="1" x14ac:dyDescent="0.25">
      <c r="B247" s="21" t="s">
        <v>156</v>
      </c>
      <c r="C247" s="21"/>
      <c r="D247" s="21"/>
      <c r="E247" s="21"/>
    </row>
    <row r="248" spans="2:5" ht="91.5" customHeight="1" x14ac:dyDescent="0.25">
      <c r="B248" s="30" t="s">
        <v>157</v>
      </c>
      <c r="C248" s="30"/>
      <c r="D248" s="30"/>
      <c r="E248" s="30"/>
    </row>
    <row r="249" spans="2:5" x14ac:dyDescent="0.25">
      <c r="B249" s="13" t="str">
        <f>+B245</f>
        <v>Propiedad planta y equipo</v>
      </c>
      <c r="C249" s="10" t="s">
        <v>158</v>
      </c>
      <c r="D249" s="15"/>
    </row>
    <row r="250" spans="2:5" hidden="1" x14ac:dyDescent="0.25">
      <c r="B250" s="139" t="s">
        <v>159</v>
      </c>
      <c r="C250" s="139">
        <f>+[1]BALANZA!B4</f>
        <v>2026</v>
      </c>
      <c r="D250" s="140">
        <f>+[1]BALANZA!C4</f>
        <v>2025</v>
      </c>
      <c r="E250" s="141" t="s">
        <v>95</v>
      </c>
    </row>
    <row r="251" spans="2:5" hidden="1" x14ac:dyDescent="0.25">
      <c r="B251" s="142" t="s">
        <v>160</v>
      </c>
      <c r="C251" s="143"/>
      <c r="D251" s="144"/>
      <c r="E251" s="145"/>
    </row>
    <row r="252" spans="2:5" ht="20.25" hidden="1" customHeight="1" x14ac:dyDescent="0.25">
      <c r="B252" s="117" t="s">
        <v>161</v>
      </c>
      <c r="C252" s="143"/>
      <c r="D252" s="144"/>
      <c r="E252" s="145"/>
    </row>
    <row r="253" spans="2:5" ht="20.25" hidden="1" customHeight="1" x14ac:dyDescent="0.25">
      <c r="B253" s="65" t="s">
        <v>162</v>
      </c>
      <c r="C253" s="84">
        <f>+D253+D254</f>
        <v>33348683.210000001</v>
      </c>
      <c r="D253" s="146">
        <f>+'[1]BALANZA G'!D74+'[1]BALANZA G'!D59-D254</f>
        <v>30171983.210000001</v>
      </c>
      <c r="E253" s="83">
        <f>+C253-D253</f>
        <v>3176700</v>
      </c>
    </row>
    <row r="254" spans="2:5" ht="20.25" hidden="1" customHeight="1" x14ac:dyDescent="0.25">
      <c r="B254" s="117" t="s">
        <v>163</v>
      </c>
      <c r="C254" s="84">
        <f>+'[1]BALANZA G'!C74-'[1]BALANZA G'!D74+'[1]BALANZA G'!C59+'[1]BALANZA G'!C77-E253</f>
        <v>2307629.4699999997</v>
      </c>
      <c r="D254" s="147">
        <v>3176700</v>
      </c>
      <c r="E254" s="83">
        <f>+C254-D254</f>
        <v>-869070.53000000026</v>
      </c>
    </row>
    <row r="255" spans="2:5" ht="20.25" hidden="1" customHeight="1" x14ac:dyDescent="0.25">
      <c r="B255" s="117" t="s">
        <v>164</v>
      </c>
      <c r="C255" s="84"/>
      <c r="D255" s="146"/>
      <c r="E255" s="83">
        <f>+C255-D255</f>
        <v>0</v>
      </c>
    </row>
    <row r="256" spans="2:5" ht="20.25" hidden="1" customHeight="1" x14ac:dyDescent="0.25">
      <c r="B256" s="117" t="s">
        <v>165</v>
      </c>
      <c r="C256" s="84">
        <f>-[1]nota12!F28</f>
        <v>-28494114.41</v>
      </c>
      <c r="D256" s="146"/>
      <c r="E256" s="83"/>
    </row>
    <row r="257" spans="2:7" ht="20.25" hidden="1" customHeight="1" x14ac:dyDescent="0.25">
      <c r="B257" s="117" t="s">
        <v>166</v>
      </c>
      <c r="C257" s="84">
        <f>-[1]nota12!F29</f>
        <v>-3.4924596548080444E-10</v>
      </c>
      <c r="D257" s="146"/>
      <c r="E257" s="83"/>
    </row>
    <row r="258" spans="2:7" hidden="1" x14ac:dyDescent="0.25">
      <c r="B258" s="148" t="s">
        <v>167</v>
      </c>
      <c r="C258" s="149">
        <f>SUM(C253:C257)</f>
        <v>7162198.2699999996</v>
      </c>
      <c r="D258" s="150">
        <f>SUM(D251:D255)</f>
        <v>33348683.210000001</v>
      </c>
      <c r="E258" s="149">
        <f>SUM(E251:E255)</f>
        <v>2307629.4699999997</v>
      </c>
    </row>
    <row r="259" spans="2:7" ht="28.5" hidden="1" x14ac:dyDescent="0.25">
      <c r="B259" s="148" t="s">
        <v>168</v>
      </c>
      <c r="C259" s="151">
        <v>0</v>
      </c>
      <c r="D259" s="152">
        <v>0</v>
      </c>
      <c r="E259" s="153">
        <f>+C259-D259</f>
        <v>0</v>
      </c>
    </row>
    <row r="260" spans="2:7" ht="28.5" hidden="1" x14ac:dyDescent="0.25">
      <c r="B260" s="148" t="s">
        <v>169</v>
      </c>
      <c r="C260" s="149">
        <f>+C258-C259</f>
        <v>7162198.2699999996</v>
      </c>
      <c r="D260" s="150">
        <f>+D258-D259</f>
        <v>33348683.210000001</v>
      </c>
      <c r="E260" s="149">
        <f>+E258-E259</f>
        <v>2307629.4699999997</v>
      </c>
    </row>
    <row r="261" spans="2:7" ht="23.25" hidden="1" customHeight="1" x14ac:dyDescent="0.25">
      <c r="B261" s="142" t="s">
        <v>170</v>
      </c>
      <c r="C261" s="154"/>
      <c r="D261" s="155"/>
      <c r="E261" s="156"/>
    </row>
    <row r="262" spans="2:7" hidden="1" x14ac:dyDescent="0.25">
      <c r="B262" s="117" t="str">
        <f>+B253</f>
        <v xml:space="preserve">Costos de adquisición  </v>
      </c>
      <c r="C262" s="84">
        <f>+'[1]BALANZA G'!C64</f>
        <v>55553258.920000002</v>
      </c>
      <c r="D262" s="146">
        <f>+'[1]BALANZA G'!D64</f>
        <v>55553258.920000002</v>
      </c>
      <c r="E262" s="83">
        <f>+C262-D262</f>
        <v>0</v>
      </c>
      <c r="G262" s="2" t="s">
        <v>112</v>
      </c>
    </row>
    <row r="263" spans="2:7" hidden="1" x14ac:dyDescent="0.25">
      <c r="B263" s="117" t="str">
        <f>+B254</f>
        <v>Adiciones</v>
      </c>
      <c r="C263" s="84"/>
      <c r="D263" s="146">
        <f>+'[1]BALANZA G'!F64</f>
        <v>48572302.979999997</v>
      </c>
      <c r="E263" s="83">
        <f>+C263-D263</f>
        <v>-48572302.979999997</v>
      </c>
    </row>
    <row r="264" spans="2:7" hidden="1" x14ac:dyDescent="0.25">
      <c r="B264" s="117" t="str">
        <f>+B255</f>
        <v>Retiros</v>
      </c>
      <c r="C264" s="84"/>
      <c r="D264" s="146"/>
      <c r="E264" s="83">
        <f>+C264-D264</f>
        <v>0</v>
      </c>
    </row>
    <row r="265" spans="2:7" hidden="1" x14ac:dyDescent="0.25">
      <c r="B265" s="117" t="str">
        <f>+B256</f>
        <v>Depreciación Acumulada</v>
      </c>
      <c r="C265" s="84">
        <f>-[1]nota12!I28</f>
        <v>-43479886.310000002</v>
      </c>
      <c r="D265" s="146"/>
      <c r="E265" s="83"/>
    </row>
    <row r="266" spans="2:7" hidden="1" x14ac:dyDescent="0.25">
      <c r="B266" s="117" t="str">
        <f>+B257</f>
        <v>Depreciación del periodo</v>
      </c>
      <c r="C266" s="84">
        <f>-[1]nota12!I29</f>
        <v>0</v>
      </c>
      <c r="D266" s="146"/>
      <c r="E266" s="83"/>
    </row>
    <row r="267" spans="2:7" ht="28.5" hidden="1" x14ac:dyDescent="0.25">
      <c r="B267" s="157" t="s">
        <v>171</v>
      </c>
      <c r="C267" s="149">
        <f>SUM(C262:C266)</f>
        <v>12073372.609999999</v>
      </c>
      <c r="D267" s="150">
        <f>SUM(D262:D264)</f>
        <v>104125561.90000001</v>
      </c>
      <c r="E267" s="149">
        <f>SUM(E262:E264)</f>
        <v>-48572302.979999997</v>
      </c>
    </row>
    <row r="268" spans="2:7" ht="28.5" hidden="1" x14ac:dyDescent="0.25">
      <c r="B268" s="148" t="s">
        <v>172</v>
      </c>
      <c r="C268" s="151">
        <v>0</v>
      </c>
      <c r="D268" s="152">
        <v>0</v>
      </c>
      <c r="E268" s="153">
        <f>+C268-D268</f>
        <v>0</v>
      </c>
    </row>
    <row r="269" spans="2:7" ht="42.75" hidden="1" x14ac:dyDescent="0.25">
      <c r="B269" s="148" t="s">
        <v>173</v>
      </c>
      <c r="C269" s="149">
        <f>+C267-C268</f>
        <v>12073372.609999999</v>
      </c>
      <c r="D269" s="150">
        <f>+D267-D268</f>
        <v>104125561.90000001</v>
      </c>
      <c r="E269" s="149">
        <f>+E267-E268</f>
        <v>-48572302.979999997</v>
      </c>
    </row>
    <row r="270" spans="2:7" ht="26.25" hidden="1" customHeight="1" x14ac:dyDescent="0.25">
      <c r="B270" s="158" t="s">
        <v>174</v>
      </c>
      <c r="C270" s="154"/>
      <c r="D270" s="155"/>
      <c r="E270" s="156"/>
    </row>
    <row r="271" spans="2:7" hidden="1" x14ac:dyDescent="0.25">
      <c r="B271" s="117" t="str">
        <f>+B262</f>
        <v xml:space="preserve">Costos de adquisición  </v>
      </c>
      <c r="C271" s="84">
        <f>+'[1]BALANZA G'!C68</f>
        <v>510150</v>
      </c>
      <c r="D271" s="146">
        <f>+'[1]BALANZA G'!D68-D272</f>
        <v>113500</v>
      </c>
      <c r="E271" s="83">
        <f>+C271-D271</f>
        <v>396650</v>
      </c>
    </row>
    <row r="272" spans="2:7" hidden="1" x14ac:dyDescent="0.25">
      <c r="B272" s="117" t="str">
        <f>+B263</f>
        <v>Adiciones</v>
      </c>
      <c r="C272" s="84"/>
      <c r="D272" s="146">
        <f>+'[1]BALANZA G'!F68</f>
        <v>396650</v>
      </c>
      <c r="E272" s="83">
        <f>+C272-D272</f>
        <v>-396650</v>
      </c>
    </row>
    <row r="273" spans="2:5" hidden="1" x14ac:dyDescent="0.25">
      <c r="B273" s="117" t="str">
        <f>+B264</f>
        <v>Retiros</v>
      </c>
      <c r="C273" s="84"/>
      <c r="D273" s="146"/>
      <c r="E273" s="83">
        <f>+C273-D273</f>
        <v>0</v>
      </c>
    </row>
    <row r="274" spans="2:5" hidden="1" x14ac:dyDescent="0.25">
      <c r="B274" s="117" t="str">
        <f>+B265</f>
        <v>Depreciación Acumulada</v>
      </c>
      <c r="C274" s="84"/>
      <c r="D274" s="146"/>
      <c r="E274" s="83"/>
    </row>
    <row r="275" spans="2:5" hidden="1" x14ac:dyDescent="0.25">
      <c r="B275" s="117" t="str">
        <f>+B266</f>
        <v>Depreciación del periodo</v>
      </c>
      <c r="C275" s="84">
        <f>-[1]nota12!G29</f>
        <v>0</v>
      </c>
      <c r="D275" s="146"/>
      <c r="E275" s="83"/>
    </row>
    <row r="276" spans="2:5" ht="28.5" hidden="1" x14ac:dyDescent="0.25">
      <c r="B276" s="148" t="s">
        <v>175</v>
      </c>
      <c r="C276" s="149">
        <f>SUM(C271:C275)</f>
        <v>510150</v>
      </c>
      <c r="D276" s="150">
        <f>SUM(D271:D275)</f>
        <v>510150</v>
      </c>
      <c r="E276" s="149">
        <f>SUM(E271)</f>
        <v>396650</v>
      </c>
    </row>
    <row r="277" spans="2:5" ht="27" hidden="1" customHeight="1" x14ac:dyDescent="0.25">
      <c r="B277" s="148" t="s">
        <v>176</v>
      </c>
      <c r="C277" s="151">
        <v>0</v>
      </c>
      <c r="D277" s="152">
        <v>0</v>
      </c>
      <c r="E277" s="153">
        <f>+C277-D277</f>
        <v>0</v>
      </c>
    </row>
    <row r="278" spans="2:5" ht="28.5" hidden="1" x14ac:dyDescent="0.25">
      <c r="B278" s="148" t="s">
        <v>177</v>
      </c>
      <c r="C278" s="149">
        <f>+C276-C277</f>
        <v>510150</v>
      </c>
      <c r="D278" s="150">
        <f>+D276-D277</f>
        <v>510150</v>
      </c>
      <c r="E278" s="149">
        <f>+E276-E277</f>
        <v>396650</v>
      </c>
    </row>
    <row r="279" spans="2:5" hidden="1" x14ac:dyDescent="0.25">
      <c r="B279" s="142" t="s">
        <v>178</v>
      </c>
      <c r="C279" s="154"/>
      <c r="D279" s="155"/>
      <c r="E279" s="156"/>
    </row>
    <row r="280" spans="2:5" hidden="1" x14ac:dyDescent="0.25">
      <c r="B280" s="117" t="str">
        <f>+B271</f>
        <v xml:space="preserve">Costos de adquisición  </v>
      </c>
      <c r="C280" s="84">
        <f>+'[1]BALANZA G'!C65+'[1]BALANZA G'!C71-C281</f>
        <v>18404484.130000003</v>
      </c>
      <c r="D280" s="146">
        <f>+'[1]BALANZA G'!D65+'[1]BALANZA G'!D71-D281</f>
        <v>11514419.150000002</v>
      </c>
      <c r="E280" s="83">
        <f>+C280-D280</f>
        <v>6890064.9800000004</v>
      </c>
    </row>
    <row r="281" spans="2:5" hidden="1" x14ac:dyDescent="0.25">
      <c r="B281" s="117" t="str">
        <f>+B272</f>
        <v>Adiciones</v>
      </c>
      <c r="C281" s="84">
        <f>+'[1]BALANZA G'!C71-D281+'[1]BALANZA G'!C65-'[1]BALANZA G'!D65</f>
        <v>345423.66999999993</v>
      </c>
      <c r="D281" s="94">
        <f>+'[1]BALANZA G'!D71</f>
        <v>6890064.9800000004</v>
      </c>
      <c r="E281" s="83">
        <f>+C281-D281</f>
        <v>-6544641.3100000005</v>
      </c>
    </row>
    <row r="282" spans="2:5" hidden="1" x14ac:dyDescent="0.25">
      <c r="B282" s="117" t="str">
        <f>+B273</f>
        <v>Retiros</v>
      </c>
      <c r="C282" s="84"/>
      <c r="D282" s="146"/>
      <c r="E282" s="83">
        <f>+C282-D282</f>
        <v>0</v>
      </c>
    </row>
    <row r="283" spans="2:5" hidden="1" x14ac:dyDescent="0.25">
      <c r="B283" s="117" t="str">
        <f>+B274</f>
        <v>Depreciación Acumulada</v>
      </c>
      <c r="C283" s="84">
        <f>-[1]nota12!H28</f>
        <v>-12507481.389999999</v>
      </c>
      <c r="D283" s="146"/>
      <c r="E283" s="83"/>
    </row>
    <row r="284" spans="2:5" hidden="1" x14ac:dyDescent="0.25">
      <c r="B284" s="117" t="str">
        <f>+B275</f>
        <v>Depreciación del periodo</v>
      </c>
      <c r="C284" s="84">
        <f>-[1]nota12!H29</f>
        <v>0</v>
      </c>
      <c r="D284" s="146"/>
      <c r="E284" s="83"/>
    </row>
    <row r="285" spans="2:5" ht="28.5" hidden="1" x14ac:dyDescent="0.25">
      <c r="B285" s="148" t="s">
        <v>179</v>
      </c>
      <c r="C285" s="149">
        <f>SUM(C280:C284)</f>
        <v>6242426.4100000057</v>
      </c>
      <c r="D285" s="150">
        <f>SUM(D280:D282)</f>
        <v>18404484.130000003</v>
      </c>
      <c r="E285" s="149">
        <f>SUM(E280:E282)</f>
        <v>345423.66999999993</v>
      </c>
    </row>
    <row r="286" spans="2:5" ht="28.5" hidden="1" x14ac:dyDescent="0.25">
      <c r="B286" s="148" t="s">
        <v>180</v>
      </c>
      <c r="C286" s="151"/>
      <c r="D286" s="152"/>
      <c r="E286" s="153"/>
    </row>
    <row r="287" spans="2:5" ht="28.5" hidden="1" x14ac:dyDescent="0.25">
      <c r="B287" s="148" t="s">
        <v>181</v>
      </c>
      <c r="C287" s="149">
        <f>+C285-C286</f>
        <v>6242426.4100000057</v>
      </c>
      <c r="D287" s="150">
        <f>+D285-D286</f>
        <v>18404484.130000003</v>
      </c>
      <c r="E287" s="149">
        <f>+E285-E286</f>
        <v>345423.66999999993</v>
      </c>
    </row>
    <row r="288" spans="2:5" hidden="1" x14ac:dyDescent="0.25">
      <c r="B288" s="142" t="s">
        <v>182</v>
      </c>
      <c r="C288" s="159"/>
      <c r="D288" s="146"/>
      <c r="E288" s="83">
        <f>+C288-D288</f>
        <v>0</v>
      </c>
    </row>
    <row r="289" spans="2:5" hidden="1" x14ac:dyDescent="0.25">
      <c r="B289" s="117" t="s">
        <v>183</v>
      </c>
      <c r="C289" s="84"/>
      <c r="D289" s="146"/>
      <c r="E289" s="83">
        <f>+C289-D289</f>
        <v>0</v>
      </c>
    </row>
    <row r="290" spans="2:5" hidden="1" x14ac:dyDescent="0.25">
      <c r="B290" s="160" t="s">
        <v>184</v>
      </c>
      <c r="C290" s="84"/>
      <c r="D290" s="146"/>
      <c r="E290" s="83">
        <f>+C290-D290</f>
        <v>0</v>
      </c>
    </row>
    <row r="291" spans="2:5" ht="28.5" hidden="1" x14ac:dyDescent="0.25">
      <c r="B291" s="148" t="s">
        <v>185</v>
      </c>
      <c r="C291" s="161">
        <f>SUM(C289:C290)</f>
        <v>0</v>
      </c>
      <c r="D291" s="162">
        <f>SUM(D289:D290)</f>
        <v>0</v>
      </c>
      <c r="E291" s="161">
        <f>SUM(E289:E290)</f>
        <v>0</v>
      </c>
    </row>
    <row r="292" spans="2:5" ht="28.5" hidden="1" x14ac:dyDescent="0.25">
      <c r="B292" s="148" t="s">
        <v>186</v>
      </c>
      <c r="C292" s="163">
        <v>0</v>
      </c>
      <c r="D292" s="152">
        <v>0</v>
      </c>
      <c r="E292" s="153">
        <f>+C292-D292</f>
        <v>0</v>
      </c>
    </row>
    <row r="293" spans="2:5" ht="28.5" hidden="1" x14ac:dyDescent="0.25">
      <c r="B293" s="148" t="s">
        <v>187</v>
      </c>
      <c r="C293" s="161">
        <f>+C291-C292</f>
        <v>0</v>
      </c>
      <c r="D293" s="162">
        <f>+D291-D292</f>
        <v>0</v>
      </c>
      <c r="E293" s="161">
        <f>+E291-E292</f>
        <v>0</v>
      </c>
    </row>
    <row r="294" spans="2:5" hidden="1" x14ac:dyDescent="0.25">
      <c r="B294" s="158" t="s">
        <v>188</v>
      </c>
      <c r="C294" s="154"/>
      <c r="D294" s="155"/>
      <c r="E294" s="156"/>
    </row>
    <row r="295" spans="2:5" hidden="1" x14ac:dyDescent="0.25">
      <c r="B295" s="41" t="str">
        <f>+B280</f>
        <v xml:space="preserve">Costos de adquisición  </v>
      </c>
      <c r="C295" s="84">
        <f>+'[1]BALANZA G'!D55</f>
        <v>1623675</v>
      </c>
      <c r="D295" s="146">
        <f>+'[1]BALANZA G'!D55</f>
        <v>1623675</v>
      </c>
      <c r="E295" s="83">
        <f>+C295-D295</f>
        <v>0</v>
      </c>
    </row>
    <row r="296" spans="2:5" hidden="1" x14ac:dyDescent="0.25">
      <c r="B296" s="41" t="str">
        <f>+B281</f>
        <v>Adiciones</v>
      </c>
      <c r="C296" s="84">
        <f>+'[1]BALANZA G'!C55-'[1]BALANZA G'!D55</f>
        <v>0</v>
      </c>
      <c r="D296" s="146">
        <f>+'[1]BALANZA G'!F55</f>
        <v>1623675</v>
      </c>
      <c r="E296" s="83">
        <f>+C296-D296</f>
        <v>-1623675</v>
      </c>
    </row>
    <row r="297" spans="2:5" hidden="1" x14ac:dyDescent="0.25">
      <c r="B297" s="41" t="str">
        <f>+B282</f>
        <v>Retiros</v>
      </c>
      <c r="C297" s="84"/>
      <c r="D297" s="146"/>
      <c r="E297" s="83">
        <f>+C297-D297</f>
        <v>0</v>
      </c>
    </row>
    <row r="298" spans="2:5" hidden="1" x14ac:dyDescent="0.25">
      <c r="B298" s="41" t="str">
        <f>+B283</f>
        <v>Depreciación Acumulada</v>
      </c>
      <c r="C298" s="84"/>
      <c r="D298" s="146"/>
      <c r="E298" s="83"/>
    </row>
    <row r="299" spans="2:5" hidden="1" x14ac:dyDescent="0.25">
      <c r="B299" s="41" t="str">
        <f>+B284</f>
        <v>Depreciación del periodo</v>
      </c>
      <c r="C299" s="84"/>
      <c r="D299" s="146"/>
      <c r="E299" s="83"/>
    </row>
    <row r="300" spans="2:5" hidden="1" x14ac:dyDescent="0.25">
      <c r="B300" s="148" t="s">
        <v>189</v>
      </c>
      <c r="C300" s="149">
        <f>SUM(C289:C296)</f>
        <v>1623675</v>
      </c>
      <c r="D300" s="150">
        <f>SUM(D289:D296)</f>
        <v>3247350</v>
      </c>
      <c r="E300" s="149">
        <f>SUM(E289:E296)</f>
        <v>-1623675</v>
      </c>
    </row>
    <row r="301" spans="2:5" hidden="1" x14ac:dyDescent="0.25">
      <c r="B301" s="158" t="s">
        <v>190</v>
      </c>
      <c r="C301" s="154"/>
      <c r="D301" s="155"/>
      <c r="E301" s="156"/>
    </row>
    <row r="302" spans="2:5" hidden="1" x14ac:dyDescent="0.25">
      <c r="B302" s="41" t="str">
        <f>+B295</f>
        <v xml:space="preserve">Costos de adquisición  </v>
      </c>
      <c r="C302" s="84">
        <f>+'[1]BALANZA G'!D58</f>
        <v>953149176.46000004</v>
      </c>
      <c r="D302" s="146">
        <f>+'[1]BALANZA G'!D58</f>
        <v>953149176.46000004</v>
      </c>
      <c r="E302" s="83">
        <f>+C302-D302</f>
        <v>0</v>
      </c>
    </row>
    <row r="303" spans="2:5" hidden="1" x14ac:dyDescent="0.25">
      <c r="B303" s="41" t="str">
        <f>+B296</f>
        <v>Adiciones</v>
      </c>
      <c r="C303" s="84">
        <f>+'[1]BALANZA G'!C58-'[1]BALANZA G'!D58</f>
        <v>0</v>
      </c>
      <c r="D303" s="146">
        <f>+'[1]BALANZA G'!J57</f>
        <v>0</v>
      </c>
      <c r="E303" s="83">
        <f>+C303-D303</f>
        <v>0</v>
      </c>
    </row>
    <row r="304" spans="2:5" hidden="1" x14ac:dyDescent="0.25">
      <c r="B304" s="41" t="str">
        <f>+B297</f>
        <v>Retiros</v>
      </c>
      <c r="C304" s="84"/>
      <c r="D304" s="146"/>
      <c r="E304" s="83"/>
    </row>
    <row r="305" spans="2:6" hidden="1" x14ac:dyDescent="0.25">
      <c r="B305" s="41" t="str">
        <f>+B298</f>
        <v>Depreciación Acumulada</v>
      </c>
      <c r="C305" s="84">
        <f>-[1]nota12!E28</f>
        <v>-309808868.79000002</v>
      </c>
      <c r="D305" s="146"/>
      <c r="E305" s="83"/>
    </row>
    <row r="306" spans="2:6" hidden="1" x14ac:dyDescent="0.25">
      <c r="B306" s="41" t="str">
        <f>+B299</f>
        <v>Depreciación del periodo</v>
      </c>
      <c r="C306" s="84">
        <f>-[1]nota12!E29</f>
        <v>0</v>
      </c>
      <c r="D306" s="146"/>
      <c r="E306" s="83"/>
    </row>
    <row r="307" spans="2:6" hidden="1" x14ac:dyDescent="0.25">
      <c r="B307" s="148" t="s">
        <v>191</v>
      </c>
      <c r="C307" s="149">
        <f>SUM(C302:C306)</f>
        <v>643340307.67000008</v>
      </c>
      <c r="D307" s="150">
        <f>+D302+D303-D304</f>
        <v>953149176.46000004</v>
      </c>
      <c r="E307" s="149">
        <f>+E302+E303-E304</f>
        <v>0</v>
      </c>
    </row>
    <row r="308" spans="2:6" hidden="1" x14ac:dyDescent="0.25">
      <c r="B308" s="148" t="s">
        <v>189</v>
      </c>
      <c r="C308" s="149">
        <f>+C307+C300</f>
        <v>644963982.67000008</v>
      </c>
      <c r="D308" s="150">
        <f>+D307+D300</f>
        <v>956396526.46000004</v>
      </c>
      <c r="E308" s="149">
        <f>+E307+E300</f>
        <v>-1623675</v>
      </c>
      <c r="F308" s="164">
        <f>+F307+F300</f>
        <v>0</v>
      </c>
    </row>
    <row r="309" spans="2:6" hidden="1" x14ac:dyDescent="0.25">
      <c r="B309" s="148" t="s">
        <v>192</v>
      </c>
      <c r="C309" s="151"/>
      <c r="D309" s="152"/>
      <c r="E309" s="153">
        <f>+C309-D309</f>
        <v>0</v>
      </c>
    </row>
    <row r="310" spans="2:6" ht="27" hidden="1" customHeight="1" x14ac:dyDescent="0.25">
      <c r="B310" s="148" t="s">
        <v>193</v>
      </c>
      <c r="C310" s="149">
        <f>+C308-C309</f>
        <v>644963982.67000008</v>
      </c>
      <c r="D310" s="150">
        <f>+D308-D309</f>
        <v>956396526.46000004</v>
      </c>
      <c r="E310" s="149">
        <f>+E308-E309</f>
        <v>-1623675</v>
      </c>
    </row>
    <row r="311" spans="2:6" hidden="1" x14ac:dyDescent="0.25">
      <c r="B311" s="165" t="s">
        <v>194</v>
      </c>
      <c r="C311" s="159"/>
      <c r="D311" s="146"/>
      <c r="E311" s="83">
        <f>+C311-D311</f>
        <v>0</v>
      </c>
    </row>
    <row r="312" spans="2:6" hidden="1" x14ac:dyDescent="0.25">
      <c r="B312" s="117" t="s">
        <v>195</v>
      </c>
      <c r="C312" s="84"/>
      <c r="D312" s="146"/>
      <c r="E312" s="83">
        <f>+C312-D312</f>
        <v>0</v>
      </c>
    </row>
    <row r="313" spans="2:6" hidden="1" x14ac:dyDescent="0.25">
      <c r="B313" s="148" t="s">
        <v>196</v>
      </c>
      <c r="C313" s="149">
        <f>SUM(C312)</f>
        <v>0</v>
      </c>
      <c r="D313" s="150">
        <f>SUM(D312)</f>
        <v>0</v>
      </c>
      <c r="E313" s="149">
        <f>SUM(E312)</f>
        <v>0</v>
      </c>
    </row>
    <row r="314" spans="2:6" ht="28.5" hidden="1" x14ac:dyDescent="0.25">
      <c r="B314" s="148" t="s">
        <v>197</v>
      </c>
      <c r="C314" s="151"/>
      <c r="D314" s="152"/>
      <c r="E314" s="153">
        <f>+C314-D314</f>
        <v>0</v>
      </c>
    </row>
    <row r="315" spans="2:6" ht="28.5" hidden="1" x14ac:dyDescent="0.25">
      <c r="B315" s="148" t="s">
        <v>198</v>
      </c>
      <c r="C315" s="149">
        <f>+C313-C314</f>
        <v>0</v>
      </c>
      <c r="D315" s="150">
        <f>+D313-D314</f>
        <v>0</v>
      </c>
      <c r="E315" s="149">
        <f>+E313-E314</f>
        <v>0</v>
      </c>
    </row>
    <row r="316" spans="2:6" hidden="1" x14ac:dyDescent="0.25">
      <c r="B316" s="165" t="s">
        <v>199</v>
      </c>
      <c r="C316" s="159"/>
      <c r="D316" s="146"/>
      <c r="E316" s="83"/>
    </row>
    <row r="317" spans="2:6" hidden="1" x14ac:dyDescent="0.25">
      <c r="B317" s="160" t="s">
        <v>200</v>
      </c>
      <c r="C317" s="84"/>
      <c r="D317" s="146"/>
      <c r="E317" s="83">
        <f>+C317-D317</f>
        <v>0</v>
      </c>
    </row>
    <row r="318" spans="2:6" ht="12" hidden="1" customHeight="1" x14ac:dyDescent="0.25">
      <c r="B318" s="160" t="s">
        <v>201</v>
      </c>
      <c r="C318" s="84"/>
      <c r="D318" s="146"/>
      <c r="E318" s="83">
        <f>+C318-D318</f>
        <v>0</v>
      </c>
    </row>
    <row r="319" spans="2:6" ht="13.5" hidden="1" customHeight="1" x14ac:dyDescent="0.25">
      <c r="B319" s="160" t="s">
        <v>202</v>
      </c>
      <c r="C319" s="84"/>
      <c r="D319" s="146"/>
      <c r="E319" s="83">
        <f>+C319-D319</f>
        <v>0</v>
      </c>
    </row>
    <row r="320" spans="2:6" ht="24.75" hidden="1" customHeight="1" x14ac:dyDescent="0.25">
      <c r="B320" s="148" t="s">
        <v>203</v>
      </c>
      <c r="C320" s="149">
        <f>SUM(C317:C319)</f>
        <v>0</v>
      </c>
      <c r="D320" s="150">
        <f>SUM(D317:D319)</f>
        <v>0</v>
      </c>
      <c r="E320" s="149">
        <f>SUM(E317:E319)</f>
        <v>0</v>
      </c>
    </row>
    <row r="321" spans="2:26" ht="21" hidden="1" customHeight="1" x14ac:dyDescent="0.25">
      <c r="B321" s="148" t="s">
        <v>204</v>
      </c>
      <c r="C321" s="151"/>
      <c r="D321" s="152"/>
      <c r="E321" s="153">
        <f>+C321-D321</f>
        <v>0</v>
      </c>
    </row>
    <row r="322" spans="2:26" ht="33" hidden="1" customHeight="1" x14ac:dyDescent="0.25">
      <c r="B322" s="148" t="s">
        <v>205</v>
      </c>
      <c r="C322" s="149">
        <f>+C320-C321</f>
        <v>0</v>
      </c>
      <c r="D322" s="150">
        <f>+D320-D321</f>
        <v>0</v>
      </c>
      <c r="E322" s="149">
        <f>+E320-E321</f>
        <v>0</v>
      </c>
    </row>
    <row r="323" spans="2:26" hidden="1" x14ac:dyDescent="0.25">
      <c r="B323" s="148" t="s">
        <v>206</v>
      </c>
      <c r="C323" s="166">
        <f>+C322+C315+C310+C293+C287+C278+C269+C260</f>
        <v>670952129.96000004</v>
      </c>
      <c r="D323" s="167">
        <f>+D322+D315+D310+D293+D287+D278+D269+D260</f>
        <v>1112785405.7</v>
      </c>
      <c r="E323" s="166">
        <f>+E322+E315+E310+E293+E287+E278+E269+E260</f>
        <v>-47146274.839999996</v>
      </c>
    </row>
    <row r="324" spans="2:26" hidden="1" x14ac:dyDescent="0.25">
      <c r="B324" s="148" t="s">
        <v>207</v>
      </c>
      <c r="C324" s="168">
        <f>+C321+C314+C309+C292+C286+C277+C268+C259</f>
        <v>0</v>
      </c>
      <c r="D324" s="152">
        <f>+D321+D314+D309+D292+D286+D277+D268+D259</f>
        <v>0</v>
      </c>
      <c r="E324" s="153">
        <f>+C324-D324</f>
        <v>0</v>
      </c>
    </row>
    <row r="325" spans="2:26" hidden="1" x14ac:dyDescent="0.25">
      <c r="B325" s="148" t="s">
        <v>208</v>
      </c>
      <c r="C325" s="166">
        <f>+C308+C287+C278+C269+C260</f>
        <v>670952129.96000004</v>
      </c>
      <c r="D325" s="167">
        <f>+D308+D287+D278+D269+D260</f>
        <v>1112785405.7</v>
      </c>
      <c r="E325" s="166">
        <f>+E323-E324</f>
        <v>-47146274.839999996</v>
      </c>
    </row>
    <row r="326" spans="2:26" s="10" customFormat="1" ht="9.75" hidden="1" customHeight="1" x14ac:dyDescent="0.25">
      <c r="B326" s="169"/>
      <c r="C326" s="170"/>
      <c r="D326" s="171"/>
      <c r="E326" s="172"/>
      <c r="J326" s="15"/>
      <c r="K326" s="15"/>
      <c r="N326" s="15"/>
      <c r="R326" s="4"/>
      <c r="S326" s="4"/>
      <c r="T326" s="4"/>
      <c r="U326" s="4"/>
      <c r="V326" s="4"/>
      <c r="W326" s="4"/>
      <c r="X326" s="4"/>
      <c r="Y326" s="4"/>
      <c r="Z326" s="15"/>
    </row>
    <row r="327" spans="2:26" s="45" customFormat="1" x14ac:dyDescent="0.25">
      <c r="B327" s="55" t="str">
        <f>("Cambio porcentual con relación al "&amp;$D$118&amp;".")</f>
        <v>Cambio porcentual con relación al 2025.</v>
      </c>
      <c r="C327" s="56"/>
      <c r="D327" s="132" t="str">
        <f>IF(E327&gt;=0,"Aumento","Disminución")</f>
        <v>Disminución</v>
      </c>
      <c r="E327" s="133">
        <f>+E325/D325</f>
        <v>-4.2367804788329813E-2</v>
      </c>
      <c r="J327" s="49"/>
      <c r="K327" s="49"/>
      <c r="N327" s="49"/>
      <c r="R327" s="50"/>
      <c r="S327" s="50"/>
      <c r="T327" s="50"/>
      <c r="U327" s="50"/>
      <c r="V327" s="50"/>
      <c r="W327" s="50"/>
      <c r="X327" s="50"/>
      <c r="Y327" s="50"/>
      <c r="Z327" s="49"/>
    </row>
    <row r="328" spans="2:26" x14ac:dyDescent="0.25">
      <c r="B328" s="108"/>
    </row>
    <row r="329" spans="2:26" x14ac:dyDescent="0.25">
      <c r="B329" s="108"/>
    </row>
    <row r="330" spans="2:26" x14ac:dyDescent="0.25">
      <c r="B330" s="108"/>
    </row>
    <row r="331" spans="2:26" x14ac:dyDescent="0.25">
      <c r="B331" s="108"/>
    </row>
    <row r="332" spans="2:26" x14ac:dyDescent="0.25">
      <c r="B332" s="108"/>
    </row>
    <row r="333" spans="2:26" x14ac:dyDescent="0.25">
      <c r="B333" s="108"/>
    </row>
    <row r="334" spans="2:26" x14ac:dyDescent="0.25">
      <c r="B334" s="108"/>
    </row>
    <row r="335" spans="2:26" x14ac:dyDescent="0.25">
      <c r="B335" s="108"/>
    </row>
    <row r="336" spans="2:26" x14ac:dyDescent="0.25">
      <c r="B336" s="108"/>
    </row>
    <row r="337" spans="2:2" x14ac:dyDescent="0.25">
      <c r="B337" s="108"/>
    </row>
    <row r="338" spans="2:2" x14ac:dyDescent="0.25">
      <c r="B338" s="108"/>
    </row>
    <row r="339" spans="2:2" x14ac:dyDescent="0.25">
      <c r="B339" s="108"/>
    </row>
    <row r="340" spans="2:2" x14ac:dyDescent="0.25">
      <c r="B340" s="108"/>
    </row>
    <row r="341" spans="2:2" x14ac:dyDescent="0.25">
      <c r="B341" s="108"/>
    </row>
    <row r="342" spans="2:2" x14ac:dyDescent="0.25">
      <c r="B342" s="108"/>
    </row>
    <row r="343" spans="2:2" x14ac:dyDescent="0.25">
      <c r="B343" s="108"/>
    </row>
    <row r="344" spans="2:2" x14ac:dyDescent="0.25">
      <c r="B344" s="108"/>
    </row>
    <row r="345" spans="2:2" x14ac:dyDescent="0.25">
      <c r="B345" s="108"/>
    </row>
    <row r="346" spans="2:2" x14ac:dyDescent="0.25">
      <c r="B346" s="108"/>
    </row>
    <row r="347" spans="2:2" x14ac:dyDescent="0.25">
      <c r="B347" s="108"/>
    </row>
    <row r="348" spans="2:2" x14ac:dyDescent="0.25">
      <c r="B348" s="108"/>
    </row>
    <row r="349" spans="2:2" x14ac:dyDescent="0.25">
      <c r="B349" s="108"/>
    </row>
    <row r="350" spans="2:2" x14ac:dyDescent="0.25">
      <c r="B350" s="108"/>
    </row>
    <row r="351" spans="2:2" x14ac:dyDescent="0.25">
      <c r="B351" s="108"/>
    </row>
    <row r="352" spans="2:2" x14ac:dyDescent="0.25">
      <c r="B352" s="108"/>
    </row>
    <row r="353" spans="2:5" x14ac:dyDescent="0.25">
      <c r="B353" s="108"/>
    </row>
    <row r="354" spans="2:5" x14ac:dyDescent="0.25">
      <c r="B354" s="108"/>
    </row>
    <row r="355" spans="2:5" x14ac:dyDescent="0.25">
      <c r="B355" s="108"/>
    </row>
    <row r="356" spans="2:5" ht="35.25" customHeight="1" x14ac:dyDescent="0.25">
      <c r="B356" s="108"/>
    </row>
    <row r="357" spans="2:5" x14ac:dyDescent="0.25">
      <c r="B357" s="108"/>
    </row>
    <row r="358" spans="2:5" x14ac:dyDescent="0.25">
      <c r="B358" s="108"/>
    </row>
    <row r="359" spans="2:5" x14ac:dyDescent="0.25">
      <c r="B359" s="108"/>
    </row>
    <row r="360" spans="2:5" x14ac:dyDescent="0.25">
      <c r="B360" s="108"/>
    </row>
    <row r="361" spans="2:5" x14ac:dyDescent="0.25">
      <c r="B361" s="108"/>
    </row>
    <row r="362" spans="2:5" ht="6" customHeight="1" x14ac:dyDescent="0.25">
      <c r="B362" s="108"/>
    </row>
    <row r="363" spans="2:5" x14ac:dyDescent="0.25">
      <c r="B363" s="108"/>
    </row>
    <row r="364" spans="2:5" x14ac:dyDescent="0.25">
      <c r="B364" s="108"/>
    </row>
    <row r="365" spans="2:5" x14ac:dyDescent="0.25">
      <c r="B365" s="108"/>
    </row>
    <row r="366" spans="2:5" x14ac:dyDescent="0.25">
      <c r="B366" s="65" t="s">
        <v>209</v>
      </c>
    </row>
    <row r="367" spans="2:5" x14ac:dyDescent="0.25">
      <c r="B367" s="65" t="s">
        <v>210</v>
      </c>
    </row>
    <row r="368" spans="2:5" ht="15" customHeight="1" x14ac:dyDescent="0.25">
      <c r="B368" s="14" t="str">
        <f>("Un detalle de las  "&amp;B367&amp;" al "&amp;[1]BALANZA!$B$3&amp;" "&amp;[1]BALANZA!$C$3&amp;" es como se detalla a continuación:")</f>
        <v>Un detalle de las  Activos Intangible  al 31 de MAYO del 2026  - 2025 es como se detalla a continuación:</v>
      </c>
      <c r="C368" s="32"/>
      <c r="D368" s="32"/>
      <c r="E368" s="32"/>
    </row>
    <row r="369" spans="2:26" ht="33.75" customHeight="1" x14ac:dyDescent="0.25">
      <c r="B369" s="21" t="str">
        <f>("Las "&amp;B367&amp;" está integrado siguientes cuentas, para el "&amp;C371&amp;" el total era de RD$"&amp;R374&amp;" y para el "&amp;D371&amp;" el total fue de RD$"&amp;R375&amp;" , Según el siguiente detalle:")</f>
        <v>Las Activos Intangible  está integrado siguientes cuentas, para el 2026 el total era de RD$34,760.00 y para el 2025 el total fue de RD$121,660.00 , Según el siguiente detalle:</v>
      </c>
      <c r="C369" s="21"/>
      <c r="D369" s="21"/>
      <c r="E369" s="21"/>
      <c r="I369" s="173"/>
      <c r="J369" s="174"/>
    </row>
    <row r="370" spans="2:26" s="45" customFormat="1" ht="12.75" customHeight="1" x14ac:dyDescent="0.25">
      <c r="B370" s="175"/>
      <c r="C370" s="175"/>
      <c r="D370" s="176"/>
      <c r="E370" s="177"/>
      <c r="J370" s="49"/>
      <c r="K370" s="49"/>
      <c r="N370" s="49"/>
      <c r="R370" s="50"/>
      <c r="S370" s="50"/>
      <c r="T370" s="50"/>
      <c r="U370" s="50"/>
      <c r="V370" s="50"/>
      <c r="W370" s="50"/>
      <c r="X370" s="50"/>
      <c r="Y370" s="50"/>
      <c r="Z370" s="49"/>
    </row>
    <row r="371" spans="2:26" x14ac:dyDescent="0.25">
      <c r="B371" s="178" t="s">
        <v>94</v>
      </c>
      <c r="C371" s="179">
        <f>+[1]BALANZA!B4</f>
        <v>2026</v>
      </c>
      <c r="D371" s="179">
        <f>+[1]BALANZA!C4</f>
        <v>2025</v>
      </c>
      <c r="E371" s="178" t="s">
        <v>95</v>
      </c>
    </row>
    <row r="372" spans="2:26" x14ac:dyDescent="0.25">
      <c r="B372" s="180" t="s">
        <v>211</v>
      </c>
      <c r="C372" s="94">
        <f>D374</f>
        <v>121660</v>
      </c>
      <c r="D372" s="94">
        <v>208560</v>
      </c>
      <c r="E372" s="181">
        <f>+C372-D372</f>
        <v>-86900</v>
      </c>
      <c r="K372" s="3">
        <v>160568.42000000001</v>
      </c>
    </row>
    <row r="373" spans="2:26" x14ac:dyDescent="0.25">
      <c r="B373" s="180" t="s">
        <v>212</v>
      </c>
      <c r="C373" s="94">
        <f>-C588</f>
        <v>-86900</v>
      </c>
      <c r="D373" s="94">
        <v>-86900</v>
      </c>
      <c r="E373" s="181">
        <f>+C373-D373</f>
        <v>0</v>
      </c>
      <c r="J373" s="3">
        <v>-20309</v>
      </c>
      <c r="K373" s="3">
        <v>-160568.42000000001</v>
      </c>
    </row>
    <row r="374" spans="2:26" x14ac:dyDescent="0.25">
      <c r="B374" s="120" t="s">
        <v>213</v>
      </c>
      <c r="C374" s="121">
        <f>+C372+C373</f>
        <v>34760</v>
      </c>
      <c r="D374" s="121">
        <f>SUM(D372:D372)+D373</f>
        <v>121660</v>
      </c>
      <c r="E374" s="121">
        <f>SUM(E372:E372)-E373</f>
        <v>-86900</v>
      </c>
      <c r="K374" s="3">
        <v>0</v>
      </c>
      <c r="R374" s="4" t="str">
        <f>+CONCATENATE(S374,",",T374,".00",)</f>
        <v>34,760.00</v>
      </c>
      <c r="S374" s="4" t="str">
        <f>MID(C374,1,2)</f>
        <v>34</v>
      </c>
      <c r="T374" s="4" t="str">
        <f>MID(C374,3,3)</f>
        <v>760</v>
      </c>
      <c r="U374" s="4" t="str">
        <f>MID(C374,6,3)</f>
        <v/>
      </c>
    </row>
    <row r="375" spans="2:26" ht="10.5" customHeight="1" x14ac:dyDescent="0.25">
      <c r="B375" s="182"/>
      <c r="C375" s="183"/>
      <c r="D375" s="184"/>
      <c r="E375" s="185"/>
      <c r="R375" s="4" t="str">
        <f>+CONCATENATE(S375,",",T375,U375,".00")</f>
        <v>121,660.00</v>
      </c>
      <c r="S375" s="4" t="str">
        <f>MID(D374,1,3)</f>
        <v>121</v>
      </c>
      <c r="T375" s="4" t="str">
        <f>MID(D374,4,3)</f>
        <v>660</v>
      </c>
      <c r="U375" s="4" t="str">
        <f>MID(D374,7,3)</f>
        <v/>
      </c>
    </row>
    <row r="376" spans="2:26" s="45" customFormat="1" x14ac:dyDescent="0.25">
      <c r="B376" s="55" t="str">
        <f>("Cambio porcentual con relación al "&amp;$D$118&amp;".")</f>
        <v>Cambio porcentual con relación al 2025.</v>
      </c>
      <c r="C376" s="56"/>
      <c r="D376" s="186">
        <v>0</v>
      </c>
      <c r="E376" s="90">
        <f>IFERROR(+E374/D374,0)</f>
        <v>-0.7142857142857143</v>
      </c>
      <c r="J376" s="49"/>
      <c r="K376" s="49"/>
      <c r="N376" s="49"/>
      <c r="R376" s="50"/>
      <c r="S376" s="50"/>
      <c r="T376" s="50"/>
      <c r="U376" s="50"/>
      <c r="V376" s="50"/>
      <c r="W376" s="50"/>
      <c r="X376" s="50"/>
      <c r="Y376" s="50"/>
      <c r="Z376" s="49"/>
    </row>
    <row r="377" spans="2:26" s="45" customFormat="1" x14ac:dyDescent="0.25">
      <c r="B377" s="175"/>
      <c r="C377" s="175"/>
      <c r="D377" s="187"/>
      <c r="E377" s="177"/>
      <c r="J377" s="49"/>
      <c r="K377" s="49"/>
      <c r="N377" s="49"/>
      <c r="R377" s="50"/>
      <c r="S377" s="50"/>
      <c r="T377" s="50"/>
      <c r="U377" s="50"/>
      <c r="V377" s="50"/>
      <c r="W377" s="50"/>
      <c r="X377" s="50"/>
      <c r="Y377" s="50"/>
      <c r="Z377" s="49"/>
    </row>
    <row r="378" spans="2:26" s="45" customFormat="1" x14ac:dyDescent="0.25">
      <c r="B378" s="30" t="s">
        <v>157</v>
      </c>
      <c r="C378" s="30"/>
      <c r="D378" s="30"/>
      <c r="E378" s="30"/>
      <c r="J378" s="49"/>
      <c r="K378" s="49"/>
      <c r="N378" s="49"/>
      <c r="R378" s="50"/>
      <c r="S378" s="50"/>
      <c r="T378" s="50"/>
      <c r="U378" s="50"/>
      <c r="V378" s="50"/>
      <c r="W378" s="50"/>
      <c r="X378" s="50"/>
      <c r="Y378" s="50"/>
      <c r="Z378" s="49"/>
    </row>
    <row r="379" spans="2:26" s="45" customFormat="1" x14ac:dyDescent="0.25">
      <c r="B379" s="175"/>
      <c r="C379" s="175"/>
      <c r="D379" s="187"/>
      <c r="E379" s="177"/>
      <c r="J379" s="49"/>
      <c r="K379" s="49"/>
      <c r="N379" s="49"/>
      <c r="R379" s="50"/>
      <c r="S379" s="50"/>
      <c r="T379" s="50"/>
      <c r="U379" s="50"/>
      <c r="V379" s="50"/>
      <c r="W379" s="50"/>
      <c r="X379" s="50"/>
      <c r="Y379" s="50"/>
      <c r="Z379" s="49"/>
    </row>
    <row r="380" spans="2:26" s="45" customFormat="1" x14ac:dyDescent="0.25">
      <c r="B380" s="175"/>
      <c r="C380" s="175"/>
      <c r="D380" s="187"/>
      <c r="E380" s="177"/>
      <c r="J380" s="49"/>
      <c r="K380" s="49"/>
      <c r="N380" s="49"/>
      <c r="R380" s="50"/>
      <c r="S380" s="50"/>
      <c r="T380" s="50"/>
      <c r="U380" s="50"/>
      <c r="V380" s="50"/>
      <c r="W380" s="50"/>
      <c r="X380" s="50"/>
      <c r="Y380" s="50"/>
      <c r="Z380" s="49"/>
    </row>
    <row r="381" spans="2:26" s="45" customFormat="1" x14ac:dyDescent="0.25">
      <c r="B381" s="175"/>
      <c r="C381" s="175"/>
      <c r="D381" s="187"/>
      <c r="E381" s="177"/>
      <c r="J381" s="49"/>
      <c r="K381" s="49"/>
      <c r="N381" s="49"/>
      <c r="R381" s="50"/>
      <c r="S381" s="50"/>
      <c r="T381" s="50"/>
      <c r="U381" s="50"/>
      <c r="V381" s="50"/>
      <c r="W381" s="50"/>
      <c r="X381" s="50"/>
      <c r="Y381" s="50"/>
      <c r="Z381" s="49"/>
    </row>
    <row r="382" spans="2:26" s="45" customFormat="1" x14ac:dyDescent="0.25">
      <c r="B382" s="175"/>
      <c r="C382" s="175"/>
      <c r="D382" s="187"/>
      <c r="E382" s="177"/>
      <c r="J382" s="49"/>
      <c r="K382" s="49"/>
      <c r="N382" s="49"/>
      <c r="R382" s="50"/>
      <c r="S382" s="50"/>
      <c r="T382" s="50"/>
      <c r="U382" s="50"/>
      <c r="V382" s="50"/>
      <c r="W382" s="50"/>
      <c r="X382" s="50"/>
      <c r="Y382" s="50"/>
      <c r="Z382" s="49"/>
    </row>
    <row r="383" spans="2:26" s="45" customFormat="1" ht="8.25" customHeight="1" x14ac:dyDescent="0.25">
      <c r="B383" s="188"/>
      <c r="C383" s="188"/>
      <c r="D383" s="189"/>
      <c r="E383" s="190"/>
      <c r="J383" s="49"/>
      <c r="K383" s="49"/>
      <c r="N383" s="49"/>
      <c r="R383" s="50"/>
      <c r="S383" s="50"/>
      <c r="T383" s="50"/>
      <c r="U383" s="50"/>
      <c r="V383" s="50"/>
      <c r="W383" s="50"/>
      <c r="X383" s="50"/>
      <c r="Y383" s="50"/>
      <c r="Z383" s="49"/>
    </row>
    <row r="384" spans="2:26" x14ac:dyDescent="0.25">
      <c r="B384" s="191" t="s">
        <v>214</v>
      </c>
      <c r="C384" s="192"/>
      <c r="D384" s="193"/>
      <c r="E384" s="192"/>
    </row>
    <row r="385" spans="2:26" ht="21.75" customHeight="1" x14ac:dyDescent="0.25">
      <c r="B385" s="7" t="s">
        <v>215</v>
      </c>
      <c r="C385" s="7"/>
      <c r="D385" s="7"/>
      <c r="E385" s="7"/>
    </row>
    <row r="386" spans="2:26" ht="27.75" customHeight="1" x14ac:dyDescent="0.25">
      <c r="B386" s="14" t="str">
        <f>("Un detalle de las  "&amp;B385&amp;" al "&amp;[1]BALANZA!$B$3&amp;" "&amp;[1]BALANZA!$C$3&amp;" es como se detalla a continuación:")</f>
        <v>Un detalle de las  Cuentas por pagar a corto plazo al 31 de MAYO del 2026  - 2025 es como se detalla a continuación:</v>
      </c>
      <c r="C386" s="32"/>
      <c r="D386" s="32"/>
      <c r="E386" s="32"/>
    </row>
    <row r="387" spans="2:26" ht="59.25" customHeight="1" x14ac:dyDescent="0.25">
      <c r="B387" s="21" t="str">
        <f>("Las Cuentas por Pagar está integrado por las deudas y compromisos de pago que tiene la institución con los suplidores de servicios, retenciones impositivas y documentos por pagar, con un aumento en el "&amp;C390&amp;"  el total era de RD$ "&amp;R394&amp;" y para el "&amp;D390&amp;" el total fue de RD$ "&amp;R395&amp;" , Según el siguiente detalle:")</f>
        <v>Las Cuentas por Pagar está integrado por las deudas y compromisos de pago que tiene la institución con los suplidores de servicios, retenciones impositivas y documentos por pagar, con un aumento en el 2026  el total era de RD$ 10,249,806.47 y para el 2025 el total fue de RD$ 8,951,565.09 , Según el siguiente detalle:</v>
      </c>
      <c r="C387" s="21"/>
      <c r="D387" s="21"/>
      <c r="E387" s="21"/>
    </row>
    <row r="388" spans="2:26" ht="45" customHeight="1" x14ac:dyDescent="0.25">
      <c r="B388" s="14"/>
      <c r="C388" s="14"/>
      <c r="D388" s="14"/>
      <c r="E388" s="14"/>
    </row>
    <row r="389" spans="2:26" x14ac:dyDescent="0.25">
      <c r="B389" s="13" t="s">
        <v>216</v>
      </c>
    </row>
    <row r="390" spans="2:26" x14ac:dyDescent="0.25">
      <c r="B390" s="194" t="s">
        <v>217</v>
      </c>
      <c r="C390" s="179">
        <f>+[1]BALANZA!B4</f>
        <v>2026</v>
      </c>
      <c r="D390" s="179">
        <f>+[1]BALANZA!C4</f>
        <v>2025</v>
      </c>
      <c r="E390" s="195" t="s">
        <v>218</v>
      </c>
      <c r="K390" s="3">
        <f>+D391+D392+K393</f>
        <v>8952429.1600000001</v>
      </c>
    </row>
    <row r="391" spans="2:26" x14ac:dyDescent="0.25">
      <c r="B391" s="160" t="s">
        <v>219</v>
      </c>
      <c r="C391" s="94">
        <f>+'[1]BALANZA G'!C108-C392</f>
        <v>2608813.9600000009</v>
      </c>
      <c r="D391" s="94">
        <f>+'[1]BALANZA G'!D108-D392</f>
        <v>8151565.0899999999</v>
      </c>
      <c r="E391" s="44">
        <f>+C391-D391</f>
        <v>-5542751.129999999</v>
      </c>
      <c r="K391" s="3">
        <v>930.44</v>
      </c>
    </row>
    <row r="392" spans="2:26" x14ac:dyDescent="0.25">
      <c r="B392" s="160" t="s">
        <v>220</v>
      </c>
      <c r="C392" s="196">
        <f>6840992.51+800000</f>
        <v>7640992.5099999998</v>
      </c>
      <c r="D392" s="94">
        <v>800000</v>
      </c>
      <c r="E392" s="44">
        <f>+C392-D392</f>
        <v>6840992.5099999998</v>
      </c>
      <c r="K392" s="3">
        <v>66.37</v>
      </c>
    </row>
    <row r="393" spans="2:26" x14ac:dyDescent="0.25">
      <c r="B393" s="160" t="s">
        <v>221</v>
      </c>
      <c r="C393" s="196">
        <f>+'[1]BALANZA G'!C109+'[1]BALANZA G'!C110</f>
        <v>0</v>
      </c>
      <c r="D393" s="94">
        <f>+'[1]BALANZA G'!D109+'[1]BALANZA G'!D110</f>
        <v>0</v>
      </c>
      <c r="E393" s="44">
        <f>+C393-D393</f>
        <v>0</v>
      </c>
      <c r="K393" s="3">
        <f>+K391-K392</f>
        <v>864.07</v>
      </c>
    </row>
    <row r="394" spans="2:26" x14ac:dyDescent="0.25">
      <c r="B394" s="194" t="s">
        <v>222</v>
      </c>
      <c r="C394" s="122">
        <f>SUM(C391:C393)</f>
        <v>10249806.470000001</v>
      </c>
      <c r="D394" s="197">
        <f>SUM(D391:D393)</f>
        <v>8951565.0899999999</v>
      </c>
      <c r="E394" s="122">
        <f>SUM(E391:E393)</f>
        <v>1298241.3800000008</v>
      </c>
      <c r="R394" s="4" t="str">
        <f>+CONCATENATE(S394,",",T394,",",U394,V394,AB394,"")</f>
        <v>10,249,806.47</v>
      </c>
      <c r="S394" s="4" t="str">
        <f>MID(C394,1,2)</f>
        <v>10</v>
      </c>
      <c r="T394" s="4" t="str">
        <f>MID(C394,3,3)</f>
        <v>249</v>
      </c>
      <c r="U394" s="4" t="str">
        <f>MID(C394,6,3)</f>
        <v>806</v>
      </c>
      <c r="V394" s="4" t="str">
        <f>MID(C394,9,3)</f>
        <v>.47</v>
      </c>
    </row>
    <row r="395" spans="2:26" x14ac:dyDescent="0.25">
      <c r="B395" s="198"/>
      <c r="C395" s="199"/>
      <c r="D395" s="200"/>
      <c r="R395" s="4" t="str">
        <f>+CONCATENATE(S395,",",T395,",",U395,V395,AB395)</f>
        <v>8,951,565.09</v>
      </c>
      <c r="S395" s="4" t="str">
        <f>MID(D394,1,1)</f>
        <v>8</v>
      </c>
      <c r="T395" s="4" t="str">
        <f>MID(D394,2,3)</f>
        <v>951</v>
      </c>
      <c r="U395" s="4" t="str">
        <f>MID(D394,5,3)</f>
        <v>565</v>
      </c>
      <c r="V395" s="4" t="str">
        <f>MID(D394,8,3)</f>
        <v>.09</v>
      </c>
    </row>
    <row r="396" spans="2:26" s="45" customFormat="1" x14ac:dyDescent="0.25">
      <c r="B396" s="55" t="str">
        <f>("Cambio porcentual con relación al "&amp;$D$118&amp;".")</f>
        <v>Cambio porcentual con relación al 2025.</v>
      </c>
      <c r="C396" s="56"/>
      <c r="D396" s="57" t="str">
        <f>IF(E396&gt;=0,"Aumento","Disminución")</f>
        <v>Aumento</v>
      </c>
      <c r="E396" s="90">
        <f>+E394/D394</f>
        <v>0.14502954142067248</v>
      </c>
      <c r="J396" s="49"/>
      <c r="K396" s="49"/>
      <c r="N396" s="49"/>
      <c r="R396" s="50"/>
      <c r="S396" s="50"/>
      <c r="T396" s="50"/>
      <c r="U396" s="50"/>
      <c r="V396" s="50"/>
      <c r="W396" s="50"/>
      <c r="X396" s="50"/>
      <c r="Y396" s="50"/>
      <c r="Z396" s="49"/>
    </row>
    <row r="397" spans="2:26" ht="22.5" customHeight="1" x14ac:dyDescent="0.25">
      <c r="B397" s="7" t="s">
        <v>223</v>
      </c>
      <c r="C397" s="7"/>
      <c r="D397" s="7"/>
      <c r="E397" s="7"/>
    </row>
    <row r="398" spans="2:26" ht="12.75" customHeight="1" x14ac:dyDescent="0.25">
      <c r="B398" s="201"/>
      <c r="C398" s="201"/>
      <c r="D398" s="202"/>
      <c r="E398" s="201"/>
    </row>
    <row r="399" spans="2:26" hidden="1" x14ac:dyDescent="0.25">
      <c r="B399" s="65" t="s">
        <v>224</v>
      </c>
    </row>
    <row r="400" spans="2:26" ht="24" hidden="1" customHeight="1" x14ac:dyDescent="0.25">
      <c r="B400" s="21" t="str">
        <f>+B137</f>
        <v>Un detalle del Inversiones a corto plazo al 31 de MAYO del 2026  - 2025 es como se detalla a continuación:</v>
      </c>
      <c r="C400" s="21"/>
      <c r="D400" s="21"/>
      <c r="E400" s="21"/>
    </row>
    <row r="401" spans="2:26" ht="78" hidden="1" customHeight="1" x14ac:dyDescent="0.25">
      <c r="B401" s="21" t="str">
        <f>("Los Prestamos por Pagar está integrado por las deudas y compromisos de pago que tiene la institución con los bancos, para el "&amp;C403&amp;" el total era de RD$"&amp;C405&amp;" y para el "&amp;D403&amp;" el total fue de RD$"&amp;D405&amp;" , Según el siguiente detalle:")</f>
        <v>Los Prestamos por Pagar está integrado por las deudas y compromisos de pago que tiene la institución con los bancos, para el 2026 el total era de RD$0 y para el 2025 el total fue de RD$0 , Según el siguiente detalle:</v>
      </c>
      <c r="C401" s="21"/>
      <c r="D401" s="21"/>
      <c r="E401" s="21"/>
    </row>
    <row r="402" spans="2:26" hidden="1" x14ac:dyDescent="0.25">
      <c r="B402" s="13" t="s">
        <v>216</v>
      </c>
    </row>
    <row r="403" spans="2:26" hidden="1" x14ac:dyDescent="0.25">
      <c r="B403" s="194" t="s">
        <v>217</v>
      </c>
      <c r="C403" s="179">
        <f>+C140</f>
        <v>2026</v>
      </c>
      <c r="D403" s="203">
        <f>+D140</f>
        <v>2025</v>
      </c>
      <c r="E403" s="195" t="s">
        <v>218</v>
      </c>
    </row>
    <row r="404" spans="2:26" hidden="1" x14ac:dyDescent="0.25">
      <c r="B404" s="160" t="s">
        <v>225</v>
      </c>
      <c r="C404" s="84">
        <f>+'[1]BALANZA G'!C119</f>
        <v>0</v>
      </c>
      <c r="D404" s="94">
        <f>+'[1]BALANZA G'!D119</f>
        <v>0</v>
      </c>
      <c r="E404" s="83">
        <f>+C404-D404</f>
        <v>0</v>
      </c>
    </row>
    <row r="405" spans="2:26" hidden="1" x14ac:dyDescent="0.25">
      <c r="B405" s="194" t="s">
        <v>226</v>
      </c>
      <c r="C405" s="122">
        <f>SUM(C404:C404)</f>
        <v>0</v>
      </c>
      <c r="D405" s="197">
        <f>SUM(D404:D404)</f>
        <v>0</v>
      </c>
      <c r="E405" s="122">
        <f>SUM(E404:E404)</f>
        <v>0</v>
      </c>
    </row>
    <row r="406" spans="2:26" hidden="1" x14ac:dyDescent="0.25">
      <c r="B406" s="198"/>
      <c r="C406" s="87"/>
      <c r="D406" s="200"/>
    </row>
    <row r="407" spans="2:26" s="45" customFormat="1" hidden="1" x14ac:dyDescent="0.25">
      <c r="B407" s="204" t="s">
        <v>227</v>
      </c>
      <c r="C407" s="205"/>
      <c r="D407" s="57" t="e">
        <f>IF(E407&gt;=0,"Aumento","Disminución")</f>
        <v>#DIV/0!</v>
      </c>
      <c r="E407" s="90" t="e">
        <f>+E405/D405</f>
        <v>#DIV/0!</v>
      </c>
      <c r="J407" s="49"/>
      <c r="K407" s="49"/>
      <c r="N407" s="49"/>
      <c r="R407" s="50"/>
      <c r="S407" s="50"/>
      <c r="T407" s="50"/>
      <c r="U407" s="50"/>
      <c r="V407" s="50"/>
      <c r="W407" s="50"/>
      <c r="X407" s="50"/>
      <c r="Y407" s="50"/>
      <c r="Z407" s="49"/>
    </row>
    <row r="408" spans="2:26" s="45" customFormat="1" x14ac:dyDescent="0.25">
      <c r="B408" s="62"/>
      <c r="C408" s="62"/>
      <c r="D408" s="60"/>
      <c r="E408" s="63"/>
      <c r="J408" s="49"/>
      <c r="K408" s="49"/>
      <c r="N408" s="49"/>
      <c r="R408" s="50"/>
      <c r="S408" s="50"/>
      <c r="T408" s="50"/>
      <c r="U408" s="50"/>
      <c r="V408" s="50"/>
      <c r="W408" s="50"/>
      <c r="X408" s="50"/>
      <c r="Y408" s="50"/>
      <c r="Z408" s="49"/>
    </row>
    <row r="409" spans="2:26" s="45" customFormat="1" x14ac:dyDescent="0.25">
      <c r="B409" s="62"/>
      <c r="C409" s="62"/>
      <c r="D409" s="60"/>
      <c r="E409" s="63"/>
      <c r="J409" s="49"/>
      <c r="K409" s="49"/>
      <c r="N409" s="49"/>
      <c r="R409" s="50"/>
      <c r="S409" s="50"/>
      <c r="T409" s="50"/>
      <c r="U409" s="50"/>
      <c r="V409" s="50"/>
      <c r="W409" s="50"/>
      <c r="X409" s="50"/>
      <c r="Y409" s="50"/>
      <c r="Z409" s="49"/>
    </row>
    <row r="410" spans="2:26" s="45" customFormat="1" x14ac:dyDescent="0.25">
      <c r="B410" s="62"/>
      <c r="C410" s="62"/>
      <c r="D410" s="60"/>
      <c r="E410" s="63"/>
      <c r="J410" s="49"/>
      <c r="K410" s="49"/>
      <c r="N410" s="49"/>
      <c r="R410" s="50"/>
      <c r="S410" s="50"/>
      <c r="T410" s="50"/>
      <c r="U410" s="50"/>
      <c r="V410" s="50"/>
      <c r="W410" s="50"/>
      <c r="X410" s="50"/>
      <c r="Y410" s="50"/>
      <c r="Z410" s="49"/>
    </row>
    <row r="411" spans="2:26" s="45" customFormat="1" x14ac:dyDescent="0.25">
      <c r="B411" s="62"/>
      <c r="C411" s="62"/>
      <c r="D411" s="60"/>
      <c r="E411" s="63"/>
      <c r="J411" s="49"/>
      <c r="K411" s="49"/>
      <c r="N411" s="49"/>
      <c r="R411" s="50"/>
      <c r="S411" s="50"/>
      <c r="T411" s="50"/>
      <c r="U411" s="50"/>
      <c r="V411" s="50"/>
      <c r="W411" s="50"/>
      <c r="X411" s="50"/>
      <c r="Y411" s="50"/>
      <c r="Z411" s="49"/>
    </row>
    <row r="412" spans="2:26" s="45" customFormat="1" x14ac:dyDescent="0.25">
      <c r="B412" s="62"/>
      <c r="C412" s="62"/>
      <c r="D412" s="60"/>
      <c r="E412" s="63"/>
      <c r="J412" s="49"/>
      <c r="K412" s="49"/>
      <c r="N412" s="49"/>
      <c r="R412" s="50"/>
      <c r="S412" s="50"/>
      <c r="T412" s="50"/>
      <c r="U412" s="50"/>
      <c r="V412" s="50"/>
      <c r="W412" s="50"/>
      <c r="X412" s="50"/>
      <c r="Y412" s="50"/>
      <c r="Z412" s="49"/>
    </row>
    <row r="413" spans="2:26" s="45" customFormat="1" x14ac:dyDescent="0.25">
      <c r="B413" s="62"/>
      <c r="C413" s="62"/>
      <c r="D413" s="60"/>
      <c r="E413" s="63"/>
      <c r="J413" s="49"/>
      <c r="K413" s="49"/>
      <c r="N413" s="49"/>
      <c r="R413" s="50"/>
      <c r="S413" s="50"/>
      <c r="T413" s="50"/>
      <c r="U413" s="50"/>
      <c r="V413" s="50"/>
      <c r="W413" s="50"/>
      <c r="X413" s="50"/>
      <c r="Y413" s="50"/>
      <c r="Z413" s="49"/>
    </row>
    <row r="414" spans="2:26" s="45" customFormat="1" x14ac:dyDescent="0.25">
      <c r="B414" s="62"/>
      <c r="C414" s="62"/>
      <c r="D414" s="60"/>
      <c r="E414" s="63"/>
      <c r="J414" s="49"/>
      <c r="K414" s="49"/>
      <c r="N414" s="49"/>
      <c r="R414" s="50"/>
      <c r="S414" s="50"/>
      <c r="T414" s="50"/>
      <c r="U414" s="50"/>
      <c r="V414" s="50"/>
      <c r="W414" s="50"/>
      <c r="X414" s="50"/>
      <c r="Y414" s="50"/>
      <c r="Z414" s="49"/>
    </row>
    <row r="415" spans="2:26" s="45" customFormat="1" x14ac:dyDescent="0.25">
      <c r="B415" s="62"/>
      <c r="C415" s="62"/>
      <c r="D415" s="60"/>
      <c r="E415" s="63"/>
      <c r="J415" s="49"/>
      <c r="K415" s="49"/>
      <c r="N415" s="49"/>
      <c r="R415" s="50"/>
      <c r="S415" s="50"/>
      <c r="T415" s="50"/>
      <c r="U415" s="50"/>
      <c r="V415" s="50"/>
      <c r="W415" s="50"/>
      <c r="X415" s="50"/>
      <c r="Y415" s="50"/>
      <c r="Z415" s="49"/>
    </row>
    <row r="416" spans="2:26" s="45" customFormat="1" x14ac:dyDescent="0.25">
      <c r="B416" s="62"/>
      <c r="C416" s="62"/>
      <c r="D416" s="60"/>
      <c r="E416" s="63"/>
      <c r="J416" s="49"/>
      <c r="K416" s="49"/>
      <c r="N416" s="49"/>
      <c r="R416" s="50"/>
      <c r="S416" s="50"/>
      <c r="T416" s="50"/>
      <c r="U416" s="50"/>
      <c r="V416" s="50"/>
      <c r="W416" s="50"/>
      <c r="X416" s="50"/>
      <c r="Y416" s="50"/>
      <c r="Z416" s="49"/>
    </row>
    <row r="417" spans="2:26" s="45" customFormat="1" x14ac:dyDescent="0.25">
      <c r="B417" s="62"/>
      <c r="C417" s="62"/>
      <c r="D417" s="60"/>
      <c r="E417" s="63"/>
      <c r="J417" s="49"/>
      <c r="K417" s="49"/>
      <c r="N417" s="49"/>
      <c r="R417" s="50"/>
      <c r="S417" s="50"/>
      <c r="T417" s="50"/>
      <c r="U417" s="50"/>
      <c r="V417" s="50"/>
      <c r="W417" s="50"/>
      <c r="X417" s="50"/>
      <c r="Y417" s="50"/>
      <c r="Z417" s="49"/>
    </row>
    <row r="418" spans="2:26" s="45" customFormat="1" x14ac:dyDescent="0.25">
      <c r="B418" s="62"/>
      <c r="C418" s="62"/>
      <c r="D418" s="60"/>
      <c r="E418" s="63"/>
      <c r="J418" s="49"/>
      <c r="K418" s="49"/>
      <c r="N418" s="49"/>
      <c r="R418" s="50"/>
      <c r="S418" s="50"/>
      <c r="T418" s="50"/>
      <c r="U418" s="50"/>
      <c r="V418" s="50"/>
      <c r="W418" s="50"/>
      <c r="X418" s="50"/>
      <c r="Y418" s="50"/>
      <c r="Z418" s="49"/>
    </row>
    <row r="419" spans="2:26" s="45" customFormat="1" ht="17.25" customHeight="1" x14ac:dyDescent="0.25">
      <c r="B419" s="62" t="s">
        <v>228</v>
      </c>
      <c r="C419" s="62"/>
      <c r="D419" s="60"/>
      <c r="E419" s="63"/>
      <c r="J419" s="49"/>
      <c r="K419" s="49"/>
      <c r="N419" s="49"/>
      <c r="R419" s="50"/>
      <c r="S419" s="50"/>
      <c r="T419" s="50"/>
      <c r="U419" s="50"/>
      <c r="V419" s="50"/>
      <c r="W419" s="50"/>
      <c r="X419" s="50"/>
      <c r="Y419" s="50"/>
      <c r="Z419" s="49"/>
    </row>
    <row r="420" spans="2:26" s="45" customFormat="1" ht="17.25" customHeight="1" x14ac:dyDescent="0.25">
      <c r="B420" s="62" t="s">
        <v>229</v>
      </c>
      <c r="C420" s="62"/>
      <c r="D420" s="60"/>
      <c r="E420" s="63"/>
      <c r="J420" s="49"/>
      <c r="K420" s="49"/>
      <c r="N420" s="49"/>
      <c r="R420" s="50"/>
      <c r="S420" s="50"/>
      <c r="T420" s="50"/>
      <c r="U420" s="50"/>
      <c r="V420" s="50"/>
      <c r="W420" s="50"/>
      <c r="X420" s="50"/>
      <c r="Y420" s="50"/>
      <c r="Z420" s="49"/>
    </row>
    <row r="421" spans="2:26" x14ac:dyDescent="0.25">
      <c r="B421" s="65" t="s">
        <v>230</v>
      </c>
    </row>
    <row r="422" spans="2:26" ht="19.899999999999999" customHeight="1" x14ac:dyDescent="0.25">
      <c r="B422" s="14" t="str">
        <f>("Un detalle de las  "&amp;B421&amp;" al "&amp;[1]BALANZA!$B$3&amp;" "&amp;[1]BALANZA!$C$3&amp;" es como se detalla a continuación:")</f>
        <v>Un detalle de las  Acumulaciones por pagar al 31 de MAYO del 2026  - 2025 es como se detalla a continuación:</v>
      </c>
      <c r="C422" s="32"/>
      <c r="D422" s="32"/>
      <c r="E422" s="32"/>
    </row>
    <row r="423" spans="2:26" ht="36" hidden="1" customHeight="1" x14ac:dyDescent="0.25">
      <c r="B423" s="21" t="str">
        <f>("Las acumulaciones por pagar para el "&amp;C425&amp;" el total era RD$ "&amp;R429&amp;" y para el "&amp;D425&amp;" el total fue de RD$ "&amp;R430&amp;" , Según el siguiente detalle:")</f>
        <v>Las acumulaciones por pagar para el 2026 el total era RD$ 0.00 y para el 2025 el total fue de RD$ 0,0 , Según el siguiente detalle:</v>
      </c>
      <c r="C423" s="21"/>
      <c r="D423" s="21"/>
      <c r="E423" s="21"/>
    </row>
    <row r="424" spans="2:26" ht="9" hidden="1" customHeight="1" x14ac:dyDescent="0.25">
      <c r="B424" s="206"/>
      <c r="C424" s="206"/>
      <c r="D424" s="206"/>
      <c r="E424" s="206"/>
    </row>
    <row r="425" spans="2:26" hidden="1" x14ac:dyDescent="0.25">
      <c r="B425" s="194" t="s">
        <v>217</v>
      </c>
      <c r="C425" s="179">
        <f>+C140</f>
        <v>2026</v>
      </c>
      <c r="D425" s="179">
        <f>+D140</f>
        <v>2025</v>
      </c>
      <c r="E425" s="195" t="s">
        <v>218</v>
      </c>
    </row>
    <row r="426" spans="2:26" hidden="1" x14ac:dyDescent="0.25">
      <c r="B426" s="160" t="s">
        <v>231</v>
      </c>
      <c r="C426" s="94">
        <f>+'[1]BALANZA G'!C115+'[1]BALANZA G'!C116</f>
        <v>0</v>
      </c>
      <c r="D426" s="94">
        <f>+'[1]BALANZA G'!D115+'[1]BALANZA G'!D116</f>
        <v>0</v>
      </c>
      <c r="E426" s="44">
        <f>+C426-D426</f>
        <v>0</v>
      </c>
    </row>
    <row r="427" spans="2:26" ht="14.25" hidden="1" customHeight="1" x14ac:dyDescent="0.25">
      <c r="B427" s="160" t="s">
        <v>232</v>
      </c>
      <c r="C427" s="94">
        <f>+'[1]BALANZA G'!C105+'[1]BALANZA G'!C106</f>
        <v>0</v>
      </c>
      <c r="D427" s="94">
        <f>+'[1]BALANZA G'!D105+'[1]BALANZA G'!D106</f>
        <v>0</v>
      </c>
      <c r="E427" s="44">
        <f>+C427-D427</f>
        <v>0</v>
      </c>
    </row>
    <row r="428" spans="2:26" hidden="1" x14ac:dyDescent="0.25">
      <c r="B428" s="160"/>
      <c r="C428" s="94"/>
      <c r="D428" s="94"/>
      <c r="E428" s="44"/>
    </row>
    <row r="429" spans="2:26" hidden="1" x14ac:dyDescent="0.25">
      <c r="B429" s="194" t="s">
        <v>233</v>
      </c>
      <c r="C429" s="197">
        <f>SUM(C426:C428)</f>
        <v>0</v>
      </c>
      <c r="D429" s="197">
        <f>SUM(D426:D428)</f>
        <v>0</v>
      </c>
      <c r="E429" s="197">
        <f>SUM(E426:E428)</f>
        <v>0</v>
      </c>
      <c r="R429" s="4" t="str">
        <f>+CONCATENATE(T429,"",U429,"",V429,"0.00")</f>
        <v>0.00</v>
      </c>
      <c r="U429" s="4" t="str">
        <f>MID(C429,4,3)</f>
        <v/>
      </c>
      <c r="V429" s="4" t="str">
        <f>MID(C429,7,3)</f>
        <v/>
      </c>
    </row>
    <row r="430" spans="2:26" ht="10.5" hidden="1" customHeight="1" x14ac:dyDescent="0.25">
      <c r="B430" s="198"/>
      <c r="C430" s="97">
        <f>+C429-'[1]ES F '!B36+C446</f>
        <v>0</v>
      </c>
      <c r="D430" s="200"/>
      <c r="R430" s="4" t="str">
        <f>+CONCATENATE(S430,",",T430,U430,V430,AB430,"0")</f>
        <v>0,0</v>
      </c>
      <c r="S430" s="4" t="str">
        <f>MID(D429,1,3)</f>
        <v>0</v>
      </c>
      <c r="T430" s="4" t="str">
        <f>MID(D429,4,3)</f>
        <v/>
      </c>
      <c r="U430" s="4" t="str">
        <f>MID(D429,7,3)</f>
        <v/>
      </c>
    </row>
    <row r="431" spans="2:26" s="45" customFormat="1" hidden="1" x14ac:dyDescent="0.25">
      <c r="B431" s="55" t="str">
        <f>("Cambio porcentual con relación al "&amp;$D$118&amp;".")</f>
        <v>Cambio porcentual con relación al 2025.</v>
      </c>
      <c r="C431" s="56"/>
      <c r="D431" s="57" t="e">
        <f>IF(E431&gt;=0,"Aumento","Disminución")</f>
        <v>#DIV/0!</v>
      </c>
      <c r="E431" s="90" t="e">
        <f>+E429/D429</f>
        <v>#DIV/0!</v>
      </c>
      <c r="J431" s="49"/>
      <c r="K431" s="49"/>
      <c r="N431" s="49"/>
      <c r="R431" s="50"/>
      <c r="S431" s="50"/>
      <c r="T431" s="50"/>
      <c r="U431" s="50"/>
      <c r="V431" s="50"/>
      <c r="W431" s="50"/>
      <c r="X431" s="50"/>
      <c r="Y431" s="50"/>
      <c r="Z431" s="49"/>
    </row>
    <row r="432" spans="2:26" s="45" customFormat="1" ht="6" hidden="1" customHeight="1" x14ac:dyDescent="0.25">
      <c r="B432" s="62"/>
      <c r="C432" s="62"/>
      <c r="D432" s="60"/>
      <c r="E432" s="63"/>
      <c r="J432" s="49"/>
      <c r="K432" s="49"/>
      <c r="N432" s="49"/>
      <c r="R432" s="50"/>
      <c r="S432" s="50"/>
      <c r="T432" s="50"/>
      <c r="U432" s="50"/>
      <c r="V432" s="50"/>
      <c r="W432" s="50"/>
      <c r="X432" s="50"/>
      <c r="Y432" s="50"/>
      <c r="Z432" s="49"/>
    </row>
    <row r="433" spans="2:28" ht="14.25" customHeight="1" x14ac:dyDescent="0.25">
      <c r="B433" s="65" t="s">
        <v>234</v>
      </c>
      <c r="C433" s="201"/>
      <c r="D433" s="201"/>
      <c r="E433" s="201"/>
    </row>
    <row r="434" spans="2:28" ht="24.75" customHeight="1" x14ac:dyDescent="0.25">
      <c r="B434" s="14" t="str">
        <f>("Un detalle de las "&amp;B433&amp;" al "&amp;[1]BALANZA!$B$3&amp;" "&amp;[1]BALANZA!$C$3&amp;" es como se detalla a continuación:")</f>
        <v>Un detalle de las Retenciones por pagar al 31 de MAYO del 2026  - 2025 es como se detalla a continuación:</v>
      </c>
      <c r="C434" s="32"/>
      <c r="D434" s="32"/>
      <c r="E434" s="32"/>
    </row>
    <row r="435" spans="2:28" ht="29.25" customHeight="1" x14ac:dyDescent="0.25">
      <c r="B435" s="21" t="str">
        <f>("Las  retenciones impositivas  por pagar  para el "&amp;C438&amp;" el total era RD$ "&amp;R446&amp;" y para el "&amp;D438&amp;" el total fue de RD$ "&amp;R447&amp;" , Según el siguiente detalle:")</f>
        <v>Las  retenciones impositivas  por pagar  para el 2026 el total era RD$ 139,610.85 y para el 2025 el total fue de RD$ 139,610.85 , Según el siguiente detalle:</v>
      </c>
      <c r="C435" s="21"/>
      <c r="D435" s="21"/>
      <c r="E435" s="21"/>
    </row>
    <row r="436" spans="2:28" ht="6" customHeight="1" x14ac:dyDescent="0.25">
      <c r="B436" s="65"/>
      <c r="C436" s="201"/>
      <c r="D436" s="201"/>
      <c r="E436" s="201"/>
    </row>
    <row r="437" spans="2:28" ht="9.75" customHeight="1" x14ac:dyDescent="0.25">
      <c r="B437" s="65"/>
      <c r="C437" s="201"/>
      <c r="D437" s="201"/>
      <c r="E437" s="201"/>
    </row>
    <row r="438" spans="2:28" x14ac:dyDescent="0.25">
      <c r="B438" s="194" t="s">
        <v>217</v>
      </c>
      <c r="C438" s="179">
        <f>+C425</f>
        <v>2026</v>
      </c>
      <c r="D438" s="179">
        <f>+D425</f>
        <v>2025</v>
      </c>
      <c r="E438" s="207" t="s">
        <v>218</v>
      </c>
    </row>
    <row r="439" spans="2:28" hidden="1" x14ac:dyDescent="0.25">
      <c r="B439" s="117" t="s">
        <v>235</v>
      </c>
      <c r="C439" s="84">
        <f>+'[1]BALANZA G'!C95</f>
        <v>0</v>
      </c>
      <c r="D439" s="94">
        <f>+'[1]BALANZA G'!D95</f>
        <v>0</v>
      </c>
      <c r="E439" s="83">
        <f>+C439-D439</f>
        <v>0</v>
      </c>
    </row>
    <row r="440" spans="2:28" hidden="1" x14ac:dyDescent="0.25">
      <c r="B440" s="117" t="s">
        <v>236</v>
      </c>
      <c r="C440" s="84">
        <f>+'[1]BALANZA G'!C97</f>
        <v>0</v>
      </c>
      <c r="D440" s="94">
        <f>+'[1]BALANZA G'!D97</f>
        <v>0</v>
      </c>
      <c r="E440" s="83">
        <f t="shared" ref="E440:E445" si="2">+C440-D440</f>
        <v>0</v>
      </c>
    </row>
    <row r="441" spans="2:28" hidden="1" x14ac:dyDescent="0.25">
      <c r="B441" s="117" t="s">
        <v>237</v>
      </c>
      <c r="C441" s="84">
        <f>+'[1]BALANZA G'!C98</f>
        <v>11361</v>
      </c>
      <c r="D441" s="94">
        <f>+'[1]BALANZA G'!D98</f>
        <v>11361</v>
      </c>
      <c r="E441" s="83">
        <f t="shared" si="2"/>
        <v>0</v>
      </c>
    </row>
    <row r="442" spans="2:28" x14ac:dyDescent="0.25">
      <c r="B442" s="117" t="s">
        <v>238</v>
      </c>
      <c r="C442" s="84">
        <f>+'[1]BALANZA G'!C99</f>
        <v>0</v>
      </c>
      <c r="D442" s="94">
        <f>+'[1]BALANZA G'!D99</f>
        <v>0</v>
      </c>
      <c r="E442" s="83">
        <f t="shared" si="2"/>
        <v>0</v>
      </c>
    </row>
    <row r="443" spans="2:28" x14ac:dyDescent="0.25">
      <c r="B443" s="117" t="s">
        <v>239</v>
      </c>
      <c r="C443" s="84">
        <f>+'[1]BALANZA G'!C100</f>
        <v>56304.6</v>
      </c>
      <c r="D443" s="94">
        <f>+'[1]BALANZA G'!D100</f>
        <v>56304.6</v>
      </c>
      <c r="E443" s="83">
        <f t="shared" si="2"/>
        <v>0</v>
      </c>
    </row>
    <row r="444" spans="2:28" x14ac:dyDescent="0.25">
      <c r="B444" s="117" t="s">
        <v>240</v>
      </c>
      <c r="C444" s="84">
        <f>+'[1]BALANZA G'!C101+'[1]BALANZA G'!C96</f>
        <v>0</v>
      </c>
      <c r="D444" s="84">
        <f>+'[1]BALANZA G'!D101+'[1]BALANZA G'!D96+0.001</f>
        <v>1E-3</v>
      </c>
      <c r="E444" s="83">
        <f t="shared" si="2"/>
        <v>-1E-3</v>
      </c>
    </row>
    <row r="445" spans="2:28" x14ac:dyDescent="0.25">
      <c r="B445" s="117" t="s">
        <v>241</v>
      </c>
      <c r="C445" s="84">
        <f>+'[1]BALANZA G'!C102</f>
        <v>71945.25</v>
      </c>
      <c r="D445" s="94">
        <f>+'[1]BALANZA G'!D102</f>
        <v>71945.25</v>
      </c>
      <c r="E445" s="83">
        <f t="shared" si="2"/>
        <v>0</v>
      </c>
    </row>
    <row r="446" spans="2:28" x14ac:dyDescent="0.25">
      <c r="B446" s="194" t="s">
        <v>242</v>
      </c>
      <c r="C446" s="122">
        <f>SUM(C439:C445)</f>
        <v>139610.85</v>
      </c>
      <c r="D446" s="197">
        <f>SUM(D439:D445)</f>
        <v>139610.85100000002</v>
      </c>
      <c r="E446" s="122">
        <f>SUM(E439:E445)</f>
        <v>-1E-3</v>
      </c>
      <c r="R446" s="4" t="str">
        <f>+CONCATENATE(T446,",",U446,"",V446,AB446)</f>
        <v>139,610.85</v>
      </c>
      <c r="T446" s="4" t="str">
        <f>MID(C446,1,3)</f>
        <v>139</v>
      </c>
      <c r="U446" s="4" t="str">
        <f>MID(C446,4,3)</f>
        <v>610</v>
      </c>
      <c r="V446" s="4" t="str">
        <f>MID(C446,7,3)</f>
        <v>.85</v>
      </c>
      <c r="Z446" s="2"/>
      <c r="AA446" s="2" t="str">
        <f>MID(H446,7,3)</f>
        <v/>
      </c>
      <c r="AB446" s="2" t="str">
        <f>MID(C446,10,3)</f>
        <v/>
      </c>
    </row>
    <row r="447" spans="2:28" ht="6" customHeight="1" x14ac:dyDescent="0.25">
      <c r="B447" s="198"/>
      <c r="C447" s="97">
        <f>+C446-'[1]ES F '!B36+C429</f>
        <v>0</v>
      </c>
      <c r="D447" s="200"/>
      <c r="R447" s="4" t="str">
        <f>+CONCATENATE(S447,"",T447,",",U447,V447,AB447)</f>
        <v>139,610.85</v>
      </c>
      <c r="T447" s="4" t="str">
        <f>MID(D446,1,3)</f>
        <v>139</v>
      </c>
      <c r="U447" s="4" t="str">
        <f>MID(D446,4,3)</f>
        <v>610</v>
      </c>
      <c r="V447" s="4" t="str">
        <f>MID(D446,7,3)</f>
        <v>.85</v>
      </c>
      <c r="W447" s="4" t="str">
        <f>MID(H446,1,3)</f>
        <v/>
      </c>
      <c r="X447" s="4" t="str">
        <f>MID(I446,1,3)</f>
        <v/>
      </c>
      <c r="Y447" s="4" t="str">
        <f>MID(J446,1,3)</f>
        <v/>
      </c>
      <c r="Z447" s="2"/>
      <c r="AA447" s="2" t="str">
        <f>MID(L446,1,3)</f>
        <v/>
      </c>
      <c r="AB447" s="2" t="str">
        <f>MID(D446,11,3)</f>
        <v/>
      </c>
    </row>
    <row r="448" spans="2:28" ht="14.25" customHeight="1" x14ac:dyDescent="0.25">
      <c r="B448" s="55" t="str">
        <f>("Cambio porcentual con relación al "&amp;$D$118&amp;".")</f>
        <v>Cambio porcentual con relación al 2025.</v>
      </c>
      <c r="C448" s="56"/>
      <c r="D448" s="57" t="str">
        <f>IF(E448&gt;=0,"Aumento","Disminución")</f>
        <v>Aumento</v>
      </c>
      <c r="E448" s="208">
        <v>1</v>
      </c>
    </row>
    <row r="449" spans="2:27" ht="7.5" customHeight="1" x14ac:dyDescent="0.25">
      <c r="B449" s="201"/>
      <c r="C449" s="201"/>
      <c r="D449" s="201"/>
      <c r="E449" s="201"/>
    </row>
    <row r="450" spans="2:27" ht="16.5" customHeight="1" x14ac:dyDescent="0.25">
      <c r="B450" s="209" t="s">
        <v>243</v>
      </c>
      <c r="C450" s="210">
        <f>+C446+C429</f>
        <v>139610.85</v>
      </c>
      <c r="D450" s="210">
        <f>+D446+D429</f>
        <v>139610.85100000002</v>
      </c>
      <c r="E450" s="122">
        <f>SUM(E443:E449)</f>
        <v>0.998</v>
      </c>
    </row>
    <row r="451" spans="2:27" ht="14.25" customHeight="1" x14ac:dyDescent="0.25">
      <c r="B451" s="201"/>
      <c r="C451" s="201"/>
      <c r="D451" s="201"/>
      <c r="E451" s="201"/>
    </row>
    <row r="452" spans="2:27" ht="14.25" customHeight="1" x14ac:dyDescent="0.25">
      <c r="B452" s="65" t="s">
        <v>244</v>
      </c>
      <c r="C452" s="201"/>
      <c r="D452" s="201"/>
      <c r="E452" s="201"/>
    </row>
    <row r="453" spans="2:27" ht="19.5" customHeight="1" x14ac:dyDescent="0.25">
      <c r="B453" s="65" t="s">
        <v>245</v>
      </c>
      <c r="C453" s="201"/>
      <c r="D453" s="98"/>
      <c r="E453" s="201"/>
    </row>
    <row r="454" spans="2:27" ht="26.25" customHeight="1" x14ac:dyDescent="0.25">
      <c r="B454" s="14" t="str">
        <f>("Un detalle del "&amp;B453&amp;" al "&amp;[1]BALANZA!$B$3&amp;" "&amp;[1]BALANZA!$C$3&amp;" es como se detalla a continuación:")</f>
        <v>Un detalle del Activos Netos/Patrimonio al 31 de MAYO del 2026  - 2025 es como se detalla a continuación:</v>
      </c>
      <c r="C454" s="32"/>
      <c r="D454" s="32"/>
      <c r="E454" s="32"/>
    </row>
    <row r="455" spans="2:27" ht="38.25" customHeight="1" x14ac:dyDescent="0.25">
      <c r="B455" s="211" t="str">
        <f>("El patrimonio institucional  para el "&amp;C457&amp;" tenia monto por RD$ "&amp;R462&amp;" y para el "&amp;D457&amp;" el monto fue de RD$ "&amp;R463&amp;" y está conformado con las siguientes partidas: ")</f>
        <v xml:space="preserve">El patrimonio institucional  para el 2026 tenia monto por RD$ 1,203,280,745.91 y para el 2025 el monto fue de RD$ 1,208,456,281.95 y está conformado con las siguientes partidas: </v>
      </c>
      <c r="C455" s="21"/>
      <c r="D455" s="21"/>
      <c r="E455" s="21"/>
    </row>
    <row r="456" spans="2:27" ht="9.75" customHeight="1" x14ac:dyDescent="0.25">
      <c r="B456" s="13"/>
    </row>
    <row r="457" spans="2:27" x14ac:dyDescent="0.25">
      <c r="B457" s="194" t="s">
        <v>217</v>
      </c>
      <c r="C457" s="33">
        <f>+C602</f>
        <v>2026</v>
      </c>
      <c r="D457" s="33">
        <f>+D602</f>
        <v>2025</v>
      </c>
      <c r="E457" s="207" t="s">
        <v>218</v>
      </c>
    </row>
    <row r="458" spans="2:27" x14ac:dyDescent="0.25">
      <c r="B458" s="212" t="s">
        <v>246</v>
      </c>
      <c r="C458" s="213">
        <f>+'[1]BALANZA G'!C128</f>
        <v>808793054.60000002</v>
      </c>
      <c r="D458" s="213">
        <f>+'[1]BALANZA G'!D128</f>
        <v>808793054.60000002</v>
      </c>
      <c r="E458" s="44">
        <f>+C458-D458</f>
        <v>0</v>
      </c>
      <c r="G458" s="214"/>
      <c r="U458" s="215"/>
    </row>
    <row r="459" spans="2:27" x14ac:dyDescent="0.25">
      <c r="B459" s="212" t="s">
        <v>247</v>
      </c>
      <c r="C459" s="216">
        <f>+D461+D460+D459</f>
        <v>399663227.34979999</v>
      </c>
      <c r="D459" s="216">
        <v>277803499.63989997</v>
      </c>
      <c r="E459" s="44">
        <f>+C459-D459</f>
        <v>121859727.70990002</v>
      </c>
      <c r="G459" s="214"/>
      <c r="I459" s="93"/>
      <c r="U459" s="215"/>
    </row>
    <row r="460" spans="2:27" x14ac:dyDescent="0.25">
      <c r="B460" s="37" t="s">
        <v>248</v>
      </c>
      <c r="C460" s="216">
        <f>+[1]BALANZA!B6</f>
        <v>0</v>
      </c>
      <c r="D460" s="216">
        <v>1485895.3399999999</v>
      </c>
      <c r="E460" s="44">
        <f>+C460-D460</f>
        <v>-1485895.3399999999</v>
      </c>
      <c r="G460" s="214"/>
      <c r="I460" s="93"/>
      <c r="U460" s="215"/>
      <c r="Z460" s="2"/>
    </row>
    <row r="461" spans="2:27" x14ac:dyDescent="0.25">
      <c r="B461" s="37" t="s">
        <v>249</v>
      </c>
      <c r="C461" s="216">
        <f>+[1]ERF!B35</f>
        <v>-5175536.0300000161</v>
      </c>
      <c r="D461" s="216">
        <f>+[1]ERF!C30</f>
        <v>120373832.36989999</v>
      </c>
      <c r="E461" s="44">
        <f>+C461-D461</f>
        <v>-125549368.3999</v>
      </c>
      <c r="G461" s="214"/>
      <c r="I461" s="93"/>
      <c r="U461" s="215"/>
      <c r="Z461" s="49"/>
    </row>
    <row r="462" spans="2:27" x14ac:dyDescent="0.25">
      <c r="B462" s="85" t="s">
        <v>250</v>
      </c>
      <c r="C462" s="217">
        <f>SUM(C458:C461)</f>
        <v>1203280745.9198</v>
      </c>
      <c r="D462" s="217">
        <f>SUM(D458:D461)</f>
        <v>1208456281.9498</v>
      </c>
      <c r="E462" s="217">
        <f>SUM(E458:E461)</f>
        <v>-5175536.0299999863</v>
      </c>
      <c r="I462" s="93"/>
      <c r="R462" s="4" t="str">
        <f>+CONCATENATE(S462,",",T462,",",U462,",",V462,W462)</f>
        <v>1,203,280,745.91</v>
      </c>
      <c r="S462" s="4" t="str">
        <f>MID(C462,1,1)</f>
        <v>1</v>
      </c>
      <c r="T462" s="4" t="str">
        <f>MID(C462,2,3)</f>
        <v>203</v>
      </c>
      <c r="U462" s="4" t="str">
        <f>MID(C462,5,3)</f>
        <v>280</v>
      </c>
      <c r="V462" s="4" t="str">
        <f>MID(C462,8,3)</f>
        <v>745</v>
      </c>
      <c r="W462" s="4" t="str">
        <f>MID(C462,11,3)</f>
        <v>.91</v>
      </c>
      <c r="Z462" s="2"/>
      <c r="AA462" s="2" t="str">
        <f>MID(H462,7,3)</f>
        <v/>
      </c>
    </row>
    <row r="463" spans="2:27" x14ac:dyDescent="0.25">
      <c r="B463" s="218"/>
      <c r="C463" s="219">
        <f>+C462-'[1]ES F '!B60</f>
        <v>0</v>
      </c>
      <c r="D463" s="219">
        <f>+D462-'[1]ES F '!C60</f>
        <v>0</v>
      </c>
      <c r="E463" s="220"/>
      <c r="R463" s="4" t="str">
        <f>+CONCATENATE(S463,",",T463,",",U463,",",V463,W463,".95")</f>
        <v>1,208,456,281.95</v>
      </c>
      <c r="S463" s="4" t="str">
        <f>MID(D462,1,1)</f>
        <v>1</v>
      </c>
      <c r="T463" s="4" t="str">
        <f>MID(D462,2,3)</f>
        <v>208</v>
      </c>
      <c r="U463" s="4" t="str">
        <f>MID(D462,5,3)</f>
        <v>456</v>
      </c>
      <c r="V463" s="4" t="str">
        <f>MID(D462,8,3)</f>
        <v>281</v>
      </c>
      <c r="W463" s="215"/>
      <c r="X463" s="4" t="str">
        <f>MID(I462,1,3)</f>
        <v/>
      </c>
      <c r="AA463" s="2" t="str">
        <f>MID(L462,1,3)</f>
        <v/>
      </c>
    </row>
    <row r="464" spans="2:27" s="45" customFormat="1" x14ac:dyDescent="0.25">
      <c r="B464" s="55" t="str">
        <f>("Cambio porcentual con relación al "&amp;$D$118&amp;".")</f>
        <v>Cambio porcentual con relación al 2025.</v>
      </c>
      <c r="C464" s="56"/>
      <c r="D464" s="57" t="str">
        <f>IF(E464&gt;=0,"Aumento","Disminución")</f>
        <v>Disminución</v>
      </c>
      <c r="E464" s="90">
        <f>+E462/D462</f>
        <v>-4.2827664577567079E-3</v>
      </c>
      <c r="J464" s="49"/>
      <c r="K464" s="49"/>
      <c r="N464" s="49"/>
      <c r="R464" s="50"/>
      <c r="S464" s="50"/>
      <c r="T464" s="50"/>
      <c r="U464" s="50"/>
      <c r="V464" s="50"/>
      <c r="W464" s="50"/>
      <c r="X464" s="50"/>
      <c r="Y464" s="50"/>
    </row>
    <row r="465" spans="2:22" ht="21" customHeight="1" x14ac:dyDescent="0.25">
      <c r="B465" s="221" t="s">
        <v>251</v>
      </c>
      <c r="C465" s="221"/>
      <c r="D465" s="221"/>
      <c r="E465" s="221"/>
    </row>
    <row r="466" spans="2:22" ht="21" customHeight="1" x14ac:dyDescent="0.25">
      <c r="B466" s="222"/>
      <c r="C466" s="222"/>
      <c r="D466" s="222"/>
      <c r="E466" s="222"/>
    </row>
    <row r="467" spans="2:22" ht="31.5" customHeight="1" x14ac:dyDescent="0.25">
      <c r="B467" s="222"/>
      <c r="C467" s="222"/>
      <c r="D467" s="222"/>
      <c r="E467" s="222"/>
    </row>
    <row r="468" spans="2:22" ht="12" customHeight="1" x14ac:dyDescent="0.25">
      <c r="B468" s="222"/>
      <c r="C468" s="222"/>
      <c r="D468" s="222"/>
      <c r="E468" s="222"/>
    </row>
    <row r="469" spans="2:22" ht="12" customHeight="1" x14ac:dyDescent="0.25">
      <c r="B469" s="222"/>
      <c r="C469" s="222"/>
      <c r="D469" s="222"/>
      <c r="E469" s="222"/>
    </row>
    <row r="470" spans="2:22" ht="12" customHeight="1" x14ac:dyDescent="0.25">
      <c r="B470" s="91"/>
    </row>
    <row r="471" spans="2:22" ht="13.5" customHeight="1" x14ac:dyDescent="0.25">
      <c r="B471" s="65" t="s">
        <v>252</v>
      </c>
    </row>
    <row r="472" spans="2:22" x14ac:dyDescent="0.25">
      <c r="B472" s="65" t="s">
        <v>253</v>
      </c>
    </row>
    <row r="473" spans="2:22" ht="39.75" customHeight="1" x14ac:dyDescent="0.25">
      <c r="B473" s="14" t="str">
        <f>("Un detalle del "&amp;B472&amp;" al "&amp;[1]BALANZA!$B$3&amp;" "&amp;[1]BALANZA!$C$3&amp;" es como se detalla a continuación:")</f>
        <v>Un detalle del Ingresos por transacciones con contraprestaciones al 31 de MAYO del 2026  - 2025 es como se detalla a continuación:</v>
      </c>
      <c r="C473" s="32"/>
      <c r="D473" s="32"/>
      <c r="E473" s="32"/>
    </row>
    <row r="474" spans="2:22" ht="42.75" customHeight="1" x14ac:dyDescent="0.25">
      <c r="B474" s="211" t="str">
        <f>("Los ingresos recibidos por cobros de  servicios de aguas potable y saneamiento (APS) para en el  "&amp;C477&amp;" es RD$ "&amp;R480&amp;" y del "&amp;D477&amp;" es RD$ "&amp;R481&amp;" :")</f>
        <v>Los ingresos recibidos por cobros de  servicios de aguas potable y saneamiento (APS) para en el  2026 es RD$ 75,499,614.46 y del 2025 es RD$ 186,534,488.11 :</v>
      </c>
      <c r="C474" s="211"/>
      <c r="D474" s="211"/>
      <c r="E474" s="211"/>
    </row>
    <row r="475" spans="2:22" x14ac:dyDescent="0.25">
      <c r="B475" s="223"/>
    </row>
    <row r="476" spans="2:22" x14ac:dyDescent="0.25">
      <c r="B476" s="194"/>
      <c r="C476" s="224" t="s">
        <v>254</v>
      </c>
      <c r="D476" s="224"/>
      <c r="E476" s="225"/>
    </row>
    <row r="477" spans="2:22" x14ac:dyDescent="0.25">
      <c r="B477" s="194" t="s">
        <v>217</v>
      </c>
      <c r="C477" s="226">
        <f>+C140</f>
        <v>2026</v>
      </c>
      <c r="D477" s="226">
        <f>+D140</f>
        <v>2025</v>
      </c>
      <c r="E477" s="195" t="s">
        <v>218</v>
      </c>
    </row>
    <row r="478" spans="2:22" x14ac:dyDescent="0.25">
      <c r="B478" s="160" t="s">
        <v>255</v>
      </c>
      <c r="C478" s="227">
        <f>+'[1]BALANZA G'!C136-C479</f>
        <v>75499614.459999993</v>
      </c>
      <c r="D478" s="146">
        <f>+'[1]BALANZA G'!D136-D479</f>
        <v>186511255.39000002</v>
      </c>
      <c r="E478" s="83">
        <f>+C478-D478</f>
        <v>-111011640.93000002</v>
      </c>
      <c r="H478" s="93"/>
    </row>
    <row r="479" spans="2:22" x14ac:dyDescent="0.25">
      <c r="B479" s="160" t="s">
        <v>256</v>
      </c>
      <c r="C479" s="227">
        <v>0</v>
      </c>
      <c r="D479" s="227">
        <f>1936.06*12</f>
        <v>23232.720000000001</v>
      </c>
      <c r="E479" s="83">
        <f>+C479-D479</f>
        <v>-23232.720000000001</v>
      </c>
      <c r="H479" s="93"/>
    </row>
    <row r="480" spans="2:22" ht="28.5" x14ac:dyDescent="0.25">
      <c r="B480" s="228" t="s">
        <v>257</v>
      </c>
      <c r="C480" s="229">
        <f>SUM(C478:C479)</f>
        <v>75499614.459999993</v>
      </c>
      <c r="D480" s="230">
        <f>SUM(D478:D479)</f>
        <v>186534488.11000001</v>
      </c>
      <c r="E480" s="229">
        <f>SUM(E478:E478)</f>
        <v>-111011640.93000002</v>
      </c>
      <c r="H480" s="93"/>
      <c r="R480" s="4" t="str">
        <f>+CONCATENATE(S480,",",T480,",",U480,V480,"")</f>
        <v>75,499,614.46</v>
      </c>
      <c r="S480" s="4" t="str">
        <f>MID(C480,1,2)</f>
        <v>75</v>
      </c>
      <c r="T480" s="4" t="str">
        <f>MID(C480,3,3)</f>
        <v>499</v>
      </c>
      <c r="U480" s="4" t="str">
        <f>MID(C480,6,3)</f>
        <v>614</v>
      </c>
      <c r="V480" s="4" t="str">
        <f>MID(C480,9,3)</f>
        <v>.46</v>
      </c>
    </row>
    <row r="481" spans="2:26" x14ac:dyDescent="0.25">
      <c r="B481" s="231"/>
      <c r="C481" s="232">
        <f>+C480-[1]ERF!B11-[1]ERF!B13</f>
        <v>0</v>
      </c>
      <c r="D481" s="233"/>
      <c r="E481" s="234"/>
      <c r="H481" s="93"/>
      <c r="R481" s="4" t="str">
        <f>+CONCATENATE(S481,",",T481,",",U481,V481,AB481,"")</f>
        <v>186,534,488.11</v>
      </c>
      <c r="S481" s="4" t="str">
        <f>MID(D480,1,3)</f>
        <v>186</v>
      </c>
      <c r="T481" s="4" t="str">
        <f>MID(D480,4,3)</f>
        <v>534</v>
      </c>
      <c r="U481" s="4" t="str">
        <f>MID(D480,7,3)</f>
        <v>488</v>
      </c>
      <c r="V481" s="4" t="str">
        <f>MID(D480,10,3)</f>
        <v>.11</v>
      </c>
    </row>
    <row r="482" spans="2:26" s="45" customFormat="1" x14ac:dyDescent="0.25">
      <c r="B482" s="55" t="str">
        <f>("Cambio porcentual con relación al "&amp;$D$118&amp;".")</f>
        <v>Cambio porcentual con relación al 2025.</v>
      </c>
      <c r="C482" s="56"/>
      <c r="D482" s="57" t="str">
        <f>IF(E482&gt;=0,"Aumento","Disminución")</f>
        <v>Disminución</v>
      </c>
      <c r="E482" s="90">
        <f>+E480/D480</f>
        <v>-0.59512662808250283</v>
      </c>
      <c r="J482" s="49"/>
      <c r="K482" s="49"/>
      <c r="N482" s="49"/>
      <c r="R482" s="50"/>
      <c r="S482" s="50"/>
      <c r="T482" s="50"/>
      <c r="U482" s="50"/>
      <c r="V482" s="50"/>
      <c r="W482" s="50"/>
      <c r="X482" s="50"/>
      <c r="Y482" s="50"/>
      <c r="Z482" s="49"/>
    </row>
    <row r="483" spans="2:26" x14ac:dyDescent="0.25">
      <c r="B483" s="91"/>
    </row>
    <row r="485" spans="2:26" x14ac:dyDescent="0.25">
      <c r="B485" s="65" t="s">
        <v>258</v>
      </c>
    </row>
    <row r="486" spans="2:26" x14ac:dyDescent="0.25">
      <c r="B486" s="65" t="s">
        <v>259</v>
      </c>
    </row>
    <row r="487" spans="2:26" ht="32.25" customHeight="1" x14ac:dyDescent="0.25">
      <c r="B487" s="14" t="str">
        <f>("Un detalle de las "&amp;B486&amp;" al "&amp;[1]BALANZA!$B$3&amp;" "&amp;[1]BALANZA!$C$3&amp;" es como se detalla a continuación:")</f>
        <v>Un detalle de las Transferencias y donaciones  al 31 de MAYO del 2026  - 2025 es como se detalla a continuación:</v>
      </c>
      <c r="C487" s="32"/>
      <c r="D487" s="32"/>
      <c r="E487" s="32"/>
    </row>
    <row r="488" spans="2:26" ht="61.5" customHeight="1" x14ac:dyDescent="0.25">
      <c r="B488" s="211" t="str">
        <f>("Los recursos recibidos por transferencias fueron por los montos según el siguiente detalle:  para el "&amp;C492&amp;" transferencia de para Gasto  Corrientes RD$ "&amp;R493&amp;", para Gasto de  Capital RD$ "&amp;R494&amp;" y para Energia no cortable RD$ "&amp;R495&amp;" y para el "&amp;D492&amp;" Transferencia para Gasto  Corrientes RD$ "&amp;R499&amp;", para Gasto  de Capital RD$ "&amp;R500&amp;" y para Energia no cortable RD$ "&amp;R501&amp;" ")</f>
        <v xml:space="preserve">Los recursos recibidos por transferencias fueron por los montos según el siguiente detalle:  para el 2026 transferencia de para Gasto  Corrientes RD$ 19,965,835.00, para Gasto de  Capital RD$ 0,, y para Energia no cortable RD$ 23,143,260.00 y para el 2025 Transferencia para Gasto  Corrientes RD$ 243,333,278.96.00, para Gasto  de Capital RD$ 12,714,356.04 y para Energia no cortable RD$ 51,161,468.00 </v>
      </c>
      <c r="C488" s="211"/>
      <c r="D488" s="211"/>
      <c r="E488" s="211"/>
    </row>
    <row r="489" spans="2:26" ht="27.75" customHeight="1" x14ac:dyDescent="0.25">
      <c r="B489" s="211" t="str">
        <f>("Para el "&amp;D492&amp;" recibimos transferencia fuera del circuito para Gasto  Corrientes RD$ "&amp;R492&amp;" ")</f>
        <v xml:space="preserve">Para el 2025 recibimos transferencia fuera del circuito para Gasto  Corrientes RD$ 4,235,517.00 </v>
      </c>
      <c r="C489" s="211"/>
      <c r="D489" s="211"/>
      <c r="E489" s="211"/>
    </row>
    <row r="490" spans="2:26" x14ac:dyDescent="0.25">
      <c r="B490" s="13"/>
    </row>
    <row r="491" spans="2:26" x14ac:dyDescent="0.25">
      <c r="B491" s="178" t="str">
        <f>+B477</f>
        <v>Cuenta</v>
      </c>
      <c r="C491" s="224" t="s">
        <v>254</v>
      </c>
      <c r="D491" s="224"/>
      <c r="E491" s="225"/>
    </row>
    <row r="492" spans="2:26" x14ac:dyDescent="0.25">
      <c r="B492" s="178" t="s">
        <v>260</v>
      </c>
      <c r="C492" s="226">
        <f>+[1]BALANZA!B4</f>
        <v>2026</v>
      </c>
      <c r="D492" s="226">
        <f>+[1]BALANZA!C4</f>
        <v>2025</v>
      </c>
      <c r="E492" s="195" t="s">
        <v>218</v>
      </c>
      <c r="R492" s="4" t="str">
        <f>+CONCATENATE(S492,",",T492,",",U492,V492,".00")</f>
        <v>4,235,517.00</v>
      </c>
      <c r="S492" s="4" t="str">
        <f>MID(D496,1,1)</f>
        <v>4</v>
      </c>
      <c r="T492" s="4" t="str">
        <f>MID(D496,2,3)</f>
        <v>235</v>
      </c>
      <c r="U492" s="4" t="str">
        <f>MID(D496,5,3)</f>
        <v>517</v>
      </c>
      <c r="V492" s="4" t="str">
        <f>MID(G496,1,1)</f>
        <v/>
      </c>
      <c r="W492" s="4" t="str">
        <f>MID(H496,1,1)</f>
        <v/>
      </c>
    </row>
    <row r="493" spans="2:26" ht="15.75" customHeight="1" x14ac:dyDescent="0.25">
      <c r="B493" s="160" t="s">
        <v>261</v>
      </c>
      <c r="C493" s="146">
        <f>+'[1]BALANZA G'!C149+'[1]BALANZA G'!C153-C496</f>
        <v>19965835</v>
      </c>
      <c r="D493" s="146">
        <f>+[1]RESULTADO!E10-D494-D495</f>
        <v>243333278.95999998</v>
      </c>
      <c r="E493" s="83">
        <f>+C493-D493</f>
        <v>-223367443.95999998</v>
      </c>
      <c r="R493" s="4" t="str">
        <f>+CONCATENATE(S493,",",T493,",",U493,V493,".00")</f>
        <v>19,965,835.00</v>
      </c>
      <c r="S493" s="4" t="str">
        <f>MID(C493,1,2)</f>
        <v>19</v>
      </c>
      <c r="T493" s="4" t="str">
        <f>MID(C493,3,3)</f>
        <v>965</v>
      </c>
      <c r="U493" s="4" t="str">
        <f>MID(C493,6,3)</f>
        <v>835</v>
      </c>
      <c r="V493" s="4" t="str">
        <f>MID(C493,9,3)</f>
        <v/>
      </c>
    </row>
    <row r="494" spans="2:26" ht="15.75" customHeight="1" x14ac:dyDescent="0.25">
      <c r="B494" s="160" t="s">
        <v>262</v>
      </c>
      <c r="C494" s="235">
        <f>+'[1]BALANZA G'!C154</f>
        <v>0</v>
      </c>
      <c r="D494" s="235">
        <v>12714356.039999999</v>
      </c>
      <c r="E494" s="83">
        <f>+C494-D494</f>
        <v>-12714356.039999999</v>
      </c>
      <c r="R494" s="4" t="str">
        <f>+CONCATENATE(S494,",",T494,",",U494,V494,"")</f>
        <v>0,,</v>
      </c>
      <c r="S494" s="4" t="str">
        <f>MID(C494,1,3)</f>
        <v>0</v>
      </c>
      <c r="T494" s="4" t="str">
        <f>MID(C494,4,3)</f>
        <v/>
      </c>
      <c r="U494" s="4" t="str">
        <f>MID(C494,7,3)</f>
        <v/>
      </c>
      <c r="V494" s="4" t="str">
        <f>MID(C494,10,3)</f>
        <v/>
      </c>
    </row>
    <row r="495" spans="2:26" ht="28.5" customHeight="1" x14ac:dyDescent="0.25">
      <c r="B495" s="236" t="s">
        <v>263</v>
      </c>
      <c r="C495" s="235">
        <f>+'[1]BALANZA G'!C155</f>
        <v>23143260</v>
      </c>
      <c r="D495" s="235">
        <v>51161468</v>
      </c>
      <c r="E495" s="237">
        <f>+C495-D495</f>
        <v>-28018208</v>
      </c>
      <c r="N495" s="3">
        <f>3106590.67*5</f>
        <v>15532953.35</v>
      </c>
      <c r="R495" s="4" t="str">
        <f>+CONCATENATE(S495,",",T495,",",U495,V495,".00")</f>
        <v>23,143,260.00</v>
      </c>
      <c r="S495" s="4" t="str">
        <f>MID(C495,1,2)</f>
        <v>23</v>
      </c>
      <c r="T495" s="4" t="str">
        <f>MID(C495,3,3)</f>
        <v>143</v>
      </c>
      <c r="U495" s="4" t="str">
        <f>MID(C495,6,3)</f>
        <v>260</v>
      </c>
      <c r="V495" s="4" t="str">
        <f>MID(C495,9,3)</f>
        <v/>
      </c>
    </row>
    <row r="496" spans="2:26" ht="19.5" customHeight="1" x14ac:dyDescent="0.25">
      <c r="B496" s="236" t="s">
        <v>264</v>
      </c>
      <c r="C496" s="235">
        <v>0</v>
      </c>
      <c r="D496" s="235">
        <v>4235517</v>
      </c>
      <c r="E496" s="237">
        <f>+C496-D496</f>
        <v>-4235517</v>
      </c>
    </row>
    <row r="497" spans="2:26" x14ac:dyDescent="0.25">
      <c r="B497" s="178" t="s">
        <v>265</v>
      </c>
      <c r="C497" s="229">
        <f>SUM(C493:C496)</f>
        <v>43109095</v>
      </c>
      <c r="D497" s="230">
        <f>SUM(D493:D495)</f>
        <v>307209103</v>
      </c>
      <c r="E497" s="229">
        <f>SUM(E493:E495)</f>
        <v>-264100007.99999997</v>
      </c>
      <c r="H497" s="93"/>
      <c r="N497" s="3">
        <v>2556519</v>
      </c>
      <c r="R497" s="4" t="str">
        <f>+CONCATENATE(S497,",",T497,",",U497,V497,AB497)</f>
        <v>43,109,095</v>
      </c>
      <c r="S497" s="4" t="str">
        <f>MID(C497,1,2)</f>
        <v>43</v>
      </c>
      <c r="T497" s="4" t="str">
        <f>MID(C497,3,3)</f>
        <v>109</v>
      </c>
      <c r="U497" s="4" t="str">
        <f>MID(C497,6,3)</f>
        <v>095</v>
      </c>
      <c r="V497" s="4" t="str">
        <f>MID(C497,9,3)</f>
        <v/>
      </c>
    </row>
    <row r="498" spans="2:26" x14ac:dyDescent="0.25">
      <c r="B498" s="231"/>
      <c r="C498" s="232">
        <f>+C497-[1]ERF!B12</f>
        <v>0</v>
      </c>
      <c r="D498" s="232">
        <f>+D497-[1]ERF!C12</f>
        <v>0</v>
      </c>
      <c r="E498" s="234"/>
      <c r="H498" s="93"/>
      <c r="N498" s="3">
        <f>+N495+N497</f>
        <v>18089472.350000001</v>
      </c>
      <c r="R498" s="4" t="str">
        <f>+CONCATENATE(S498,",",T498,",",U498,V498,AB498)</f>
        <v>307,209,103</v>
      </c>
      <c r="S498" s="4" t="str">
        <f>MID(D497,1,3)</f>
        <v>307</v>
      </c>
      <c r="T498" s="4" t="str">
        <f>MID(D497,4,3)</f>
        <v>209</v>
      </c>
      <c r="U498" s="4" t="str">
        <f>MID(D497,7,3)</f>
        <v>103</v>
      </c>
      <c r="V498" s="4" t="str">
        <f>MID(D497,10,3)</f>
        <v/>
      </c>
    </row>
    <row r="499" spans="2:26" s="45" customFormat="1" x14ac:dyDescent="0.25">
      <c r="B499" s="55" t="str">
        <f>("Cambio porcentual con relación al "&amp;$D$118&amp;".")</f>
        <v>Cambio porcentual con relación al 2025.</v>
      </c>
      <c r="C499" s="56"/>
      <c r="D499" s="57" t="str">
        <f>IF(E499&gt;=0,"Aumento","Disminución")</f>
        <v>Disminución</v>
      </c>
      <c r="E499" s="90">
        <f>+E497/D497</f>
        <v>-0.85967507284443967</v>
      </c>
      <c r="J499" s="49"/>
      <c r="K499" s="49"/>
      <c r="N499" s="49"/>
      <c r="R499" s="4" t="str">
        <f>+CONCATENATE(S499,",",T499,",",U499,V499,AB499,".00")</f>
        <v>243,333,278.96.00</v>
      </c>
      <c r="S499" s="4" t="str">
        <f>MID(D493,1,3)</f>
        <v>243</v>
      </c>
      <c r="T499" s="4" t="str">
        <f>MID(D493,4,3)</f>
        <v>333</v>
      </c>
      <c r="U499" s="4" t="str">
        <f>MID(D493,7,3)</f>
        <v>278</v>
      </c>
      <c r="V499" s="4" t="str">
        <f>MID(D493,10,3)</f>
        <v>.96</v>
      </c>
      <c r="W499" s="50"/>
      <c r="X499" s="50"/>
      <c r="Y499" s="50"/>
      <c r="Z499" s="49"/>
    </row>
    <row r="500" spans="2:26" ht="21" customHeight="1" x14ac:dyDescent="0.25">
      <c r="B500" s="13"/>
      <c r="H500" s="93"/>
      <c r="R500" s="4" t="str">
        <f>+CONCATENATE(S500,",",T500,",",U500,V500,AB500)</f>
        <v>12,714,356.04</v>
      </c>
      <c r="S500" s="4" t="str">
        <f>MID(D494,1,2)</f>
        <v>12</v>
      </c>
      <c r="T500" s="4" t="str">
        <f>MID(D494,3,3)</f>
        <v>714</v>
      </c>
      <c r="U500" s="4" t="str">
        <f>MID(D494,6,3)</f>
        <v>356</v>
      </c>
      <c r="V500" s="4" t="str">
        <f>MID(D494,9,3)</f>
        <v>.04</v>
      </c>
    </row>
    <row r="501" spans="2:26" ht="28.5" hidden="1" customHeight="1" x14ac:dyDescent="0.25">
      <c r="B501" s="26" t="e">
        <f>("Nota: CORAAMOCA tiene un presupuesto aprobado para el "&amp;C492&amp;" por un valor de RD$ "&amp;#REF!&amp;" ")</f>
        <v>#REF!</v>
      </c>
      <c r="C501" s="26"/>
      <c r="D501" s="26"/>
      <c r="E501" s="26"/>
      <c r="R501" s="4" t="str">
        <f>+CONCATENATE(S501,",",T501,",",U501,V501,AB501,".00")</f>
        <v>51,161,468.00</v>
      </c>
      <c r="S501" s="4" t="str">
        <f>MID(D495,1,2)</f>
        <v>51</v>
      </c>
      <c r="T501" s="4" t="str">
        <f>MID(D495,3,3)</f>
        <v>161</v>
      </c>
      <c r="U501" s="4" t="str">
        <f>MID(D495,6,3)</f>
        <v>468</v>
      </c>
      <c r="V501" s="4" t="str">
        <f>MID(D495,9,3)</f>
        <v/>
      </c>
    </row>
    <row r="502" spans="2:26" ht="69.75" customHeight="1" x14ac:dyDescent="0.25">
      <c r="B502" s="26" t="str">
        <f>("El cual  recibirá mediante asignación de fondos del Gobierno Central,  para gastos corriente RD$ "&amp;R502&amp;" , para Gasto de capital RD$ "&amp;R504&amp;" y para  Energia Electrica de  RD$ "&amp;R503&amp;" y la Institución ingresará por ventas de servicios agua y saneamiento  un monto de RD$ "&amp;R505&amp;".")</f>
        <v>El cual  recibirá mediante asignación de fondos del Gobierno Central,  para gastos corriente RD$ 51,195,285.00 , para Gasto de capital RD$ 100,470,000.00 y para  Energia Electrica de  RD$ 55,543,832.00 y la Institución ingresará por ventas de servicios agua y saneamiento  un monto de RD$ 239,995,000.00.</v>
      </c>
      <c r="C502" s="26"/>
      <c r="D502" s="26"/>
      <c r="E502" s="26"/>
      <c r="R502" s="4" t="str">
        <f>+CONCATENATE(T502,",",U502,",",V502,W502,".00")</f>
        <v>51,195,285.00</v>
      </c>
      <c r="S502" s="238">
        <f>+'[1]Pres A'!E289</f>
        <v>51195285</v>
      </c>
      <c r="T502" s="4" t="str">
        <f>MID(S502,1,2)</f>
        <v>51</v>
      </c>
      <c r="U502" s="4" t="str">
        <f>MID(S502,3,3)</f>
        <v>195</v>
      </c>
      <c r="V502" s="4" t="str">
        <f>MID(S502,6,3)</f>
        <v>285</v>
      </c>
    </row>
    <row r="503" spans="2:26" ht="15.75" customHeight="1" x14ac:dyDescent="0.25">
      <c r="B503" s="22"/>
      <c r="C503" s="22"/>
      <c r="D503" s="22"/>
      <c r="E503" s="22"/>
      <c r="R503" s="4" t="str">
        <f>+CONCATENATE(T503,",",U503,",",V503,W503,".00")</f>
        <v>55,543,832.00</v>
      </c>
      <c r="S503" s="238">
        <f>+'[1]Pres A'!E290</f>
        <v>55543832</v>
      </c>
      <c r="T503" s="4" t="str">
        <f>MID(S503,1,2)</f>
        <v>55</v>
      </c>
      <c r="U503" s="4" t="str">
        <f>MID(S503,3,3)</f>
        <v>543</v>
      </c>
      <c r="V503" s="4" t="str">
        <f>MID(S503,6,3)</f>
        <v>832</v>
      </c>
      <c r="W503" s="4" t="str">
        <f>MID(S503,9,3)</f>
        <v/>
      </c>
    </row>
    <row r="504" spans="2:26" ht="9" customHeight="1" x14ac:dyDescent="0.25">
      <c r="B504" s="22"/>
      <c r="C504" s="22"/>
      <c r="D504" s="22"/>
      <c r="E504" s="22"/>
      <c r="R504" s="4" t="str">
        <f>+CONCATENATE(T504,",",U504,",",V504,W504,".00")</f>
        <v>100,470,000.00</v>
      </c>
      <c r="S504" s="238">
        <f>+'[1]Pres A'!E291</f>
        <v>100470000</v>
      </c>
      <c r="T504" s="4" t="str">
        <f>MID(S504,1,3)</f>
        <v>100</v>
      </c>
      <c r="U504" s="4" t="str">
        <f>MID(S504,4,3)</f>
        <v>470</v>
      </c>
      <c r="V504" s="4" t="str">
        <f>MID(S504,7,3)</f>
        <v>000</v>
      </c>
      <c r="W504" s="4" t="str">
        <f>MID(S504,10,3)</f>
        <v/>
      </c>
    </row>
    <row r="505" spans="2:26" ht="12.75" customHeight="1" x14ac:dyDescent="0.25">
      <c r="B505" s="22"/>
      <c r="C505" s="22"/>
      <c r="D505" s="22"/>
      <c r="E505" s="22"/>
      <c r="R505" s="4" t="str">
        <f>+CONCATENATE(T505,",",U505,",",V505,W505,".00")</f>
        <v>239,995,000.00</v>
      </c>
      <c r="S505" s="238">
        <f>+'[1]Pres A'!E295</f>
        <v>239995000</v>
      </c>
      <c r="T505" s="4" t="str">
        <f>MID(S505,1,3)</f>
        <v>239</v>
      </c>
      <c r="U505" s="4" t="str">
        <f>MID(S505,4,3)</f>
        <v>995</v>
      </c>
      <c r="V505" s="4" t="str">
        <f>MID(S505,7,3)</f>
        <v>000</v>
      </c>
    </row>
    <row r="506" spans="2:26" ht="15.75" customHeight="1" x14ac:dyDescent="0.25">
      <c r="B506" s="22"/>
      <c r="C506" s="22"/>
      <c r="D506" s="22"/>
      <c r="E506" s="22"/>
    </row>
    <row r="507" spans="2:26" ht="15.75" customHeight="1" x14ac:dyDescent="0.25">
      <c r="B507" s="22"/>
      <c r="C507" s="22"/>
      <c r="D507" s="22"/>
      <c r="E507" s="22"/>
    </row>
    <row r="508" spans="2:26" ht="15.75" customHeight="1" x14ac:dyDescent="0.25">
      <c r="B508" s="22"/>
      <c r="C508" s="22"/>
      <c r="D508" s="22"/>
      <c r="E508" s="22"/>
    </row>
    <row r="509" spans="2:26" ht="15.75" customHeight="1" x14ac:dyDescent="0.25">
      <c r="B509" s="22"/>
      <c r="C509" s="22"/>
      <c r="D509" s="22"/>
      <c r="E509" s="22"/>
    </row>
    <row r="510" spans="2:26" ht="32.25" customHeight="1" x14ac:dyDescent="0.25">
      <c r="B510" s="178" t="s">
        <v>260</v>
      </c>
      <c r="C510" s="239" t="s">
        <v>266</v>
      </c>
      <c r="D510" s="239" t="s">
        <v>246</v>
      </c>
      <c r="E510" s="239" t="s">
        <v>267</v>
      </c>
    </row>
    <row r="511" spans="2:26" ht="15.75" customHeight="1" x14ac:dyDescent="0.25">
      <c r="B511" s="66" t="s">
        <v>268</v>
      </c>
      <c r="C511" s="240">
        <f>+'[1]19'!$D$25</f>
        <v>3993167</v>
      </c>
      <c r="D511" s="240">
        <f>+'[1]19'!$D$26</f>
        <v>0</v>
      </c>
      <c r="E511" s="240">
        <f>+'[1]19'!$D$27</f>
        <v>4628652</v>
      </c>
    </row>
    <row r="512" spans="2:26" ht="15.75" customHeight="1" x14ac:dyDescent="0.25">
      <c r="B512" s="66" t="s">
        <v>269</v>
      </c>
      <c r="C512" s="240">
        <f>+'[1]19'!$E$25</f>
        <v>3993167</v>
      </c>
      <c r="D512" s="240">
        <f>+'[1]19'!$E$26</f>
        <v>0</v>
      </c>
      <c r="E512" s="240">
        <f>+'[1]19'!$E$27</f>
        <v>4628652</v>
      </c>
    </row>
    <row r="513" spans="2:5" ht="15.75" customHeight="1" x14ac:dyDescent="0.25">
      <c r="B513" s="66" t="s">
        <v>270</v>
      </c>
      <c r="C513" s="240">
        <f>+'[1]19'!$F$25</f>
        <v>3993167</v>
      </c>
      <c r="D513" s="240">
        <f>+'[1]19'!$F$26</f>
        <v>0</v>
      </c>
      <c r="E513" s="240">
        <f>+'[1]19'!$F$27</f>
        <v>4628652</v>
      </c>
    </row>
    <row r="514" spans="2:5" ht="15.75" customHeight="1" x14ac:dyDescent="0.25">
      <c r="B514" s="66" t="s">
        <v>271</v>
      </c>
      <c r="C514" s="240">
        <f>+'[1]19'!$G$25</f>
        <v>3993167</v>
      </c>
      <c r="D514" s="240">
        <f>+'[1]19'!$G$26</f>
        <v>0</v>
      </c>
      <c r="E514" s="240">
        <f>+'[1]19'!$G$27</f>
        <v>4628652</v>
      </c>
    </row>
    <row r="515" spans="2:5" ht="15.75" customHeight="1" x14ac:dyDescent="0.25">
      <c r="B515" s="66" t="s">
        <v>272</v>
      </c>
      <c r="C515" s="240">
        <f>+'[1]19'!$H$25</f>
        <v>3993167</v>
      </c>
      <c r="D515" s="240">
        <f>+'[1]19'!$H$26</f>
        <v>0</v>
      </c>
      <c r="E515" s="240">
        <f>+'[1]19'!$H$27</f>
        <v>4628652</v>
      </c>
    </row>
    <row r="516" spans="2:5" ht="15.75" customHeight="1" x14ac:dyDescent="0.25">
      <c r="B516" s="66" t="s">
        <v>273</v>
      </c>
      <c r="C516" s="240">
        <f>+'[1]19'!$I$25</f>
        <v>0</v>
      </c>
      <c r="D516" s="240">
        <f>+'[1]19'!$I$26</f>
        <v>0</v>
      </c>
      <c r="E516" s="240">
        <f>+'[1]19'!$I$27</f>
        <v>0</v>
      </c>
    </row>
    <row r="517" spans="2:5" ht="15.75" customHeight="1" x14ac:dyDescent="0.25">
      <c r="B517" s="66" t="s">
        <v>274</v>
      </c>
      <c r="C517" s="240">
        <f>+'[1]19'!$J$25</f>
        <v>0</v>
      </c>
      <c r="D517" s="240">
        <f>+'[1]19'!$J$26</f>
        <v>0</v>
      </c>
      <c r="E517" s="240">
        <f>+'[1]19'!$J$27</f>
        <v>0</v>
      </c>
    </row>
    <row r="518" spans="2:5" ht="15.75" customHeight="1" x14ac:dyDescent="0.25">
      <c r="B518" s="66" t="s">
        <v>275</v>
      </c>
      <c r="C518" s="240">
        <f>+'[1]19'!$K$25</f>
        <v>0</v>
      </c>
      <c r="D518" s="240">
        <f>+'[1]19'!$K$26</f>
        <v>0</v>
      </c>
      <c r="E518" s="240">
        <f>+'[1]19'!$K$27</f>
        <v>0</v>
      </c>
    </row>
    <row r="519" spans="2:5" ht="15.75" customHeight="1" x14ac:dyDescent="0.25">
      <c r="B519" s="66" t="s">
        <v>276</v>
      </c>
      <c r="C519" s="240">
        <f>+'[1]19'!$L$25</f>
        <v>0</v>
      </c>
      <c r="D519" s="240">
        <f>+'[1]19'!$L$26</f>
        <v>0</v>
      </c>
      <c r="E519" s="240">
        <f>+'[1]19'!$L$27</f>
        <v>0</v>
      </c>
    </row>
    <row r="520" spans="2:5" ht="15.75" customHeight="1" x14ac:dyDescent="0.25">
      <c r="B520" s="66" t="s">
        <v>277</v>
      </c>
      <c r="C520" s="240">
        <f>+'[1]19'!$M$25</f>
        <v>0</v>
      </c>
      <c r="D520" s="240">
        <f>+'[1]19'!$M$26</f>
        <v>0</v>
      </c>
      <c r="E520" s="240">
        <f>+'[1]19'!$M$27</f>
        <v>0</v>
      </c>
    </row>
    <row r="521" spans="2:5" ht="15.75" customHeight="1" x14ac:dyDescent="0.25">
      <c r="B521" s="66" t="s">
        <v>278</v>
      </c>
      <c r="C521" s="240">
        <f>+'[1]19'!$N$25</f>
        <v>0</v>
      </c>
      <c r="D521" s="240">
        <f>+'[1]19'!$N$26</f>
        <v>0</v>
      </c>
      <c r="E521" s="240">
        <f>+'[1]19'!$N$27</f>
        <v>0</v>
      </c>
    </row>
    <row r="522" spans="2:5" ht="15.75" customHeight="1" x14ac:dyDescent="0.25">
      <c r="B522" s="66" t="s">
        <v>279</v>
      </c>
      <c r="C522" s="240">
        <f>+'[1]19'!$O$25</f>
        <v>0</v>
      </c>
      <c r="D522" s="240">
        <f>+'[1]19'!$O$26</f>
        <v>0</v>
      </c>
      <c r="E522" s="240">
        <f>+'[1]19'!$O$27</f>
        <v>0</v>
      </c>
    </row>
    <row r="523" spans="2:5" ht="15.75" customHeight="1" x14ac:dyDescent="0.25">
      <c r="B523" s="241" t="s">
        <v>213</v>
      </c>
      <c r="C523" s="242">
        <f>SUM(C511:C522)</f>
        <v>19965835</v>
      </c>
      <c r="D523" s="242">
        <f>SUM(D511:D522)</f>
        <v>0</v>
      </c>
      <c r="E523" s="242">
        <f>SUM(E511:E522)</f>
        <v>23143260</v>
      </c>
    </row>
    <row r="524" spans="2:5" ht="15.75" customHeight="1" x14ac:dyDescent="0.25">
      <c r="B524" s="243"/>
      <c r="C524" s="244"/>
      <c r="D524" s="244"/>
      <c r="E524" s="244"/>
    </row>
    <row r="525" spans="2:5" ht="15.75" customHeight="1" x14ac:dyDescent="0.25">
      <c r="B525" s="243" t="s">
        <v>280</v>
      </c>
      <c r="C525" s="244">
        <f>+C523+E523</f>
        <v>43109095</v>
      </c>
      <c r="D525" s="244"/>
      <c r="E525" s="244"/>
    </row>
    <row r="526" spans="2:5" ht="15.75" customHeight="1" x14ac:dyDescent="0.25">
      <c r="B526" s="243" t="s">
        <v>281</v>
      </c>
      <c r="C526" s="244">
        <f>+D523</f>
        <v>0</v>
      </c>
      <c r="D526" s="244"/>
      <c r="E526" s="244"/>
    </row>
    <row r="527" spans="2:5" ht="30" customHeight="1" x14ac:dyDescent="0.25">
      <c r="B527" s="22"/>
      <c r="C527" s="22"/>
      <c r="D527" s="22"/>
      <c r="E527" s="22"/>
    </row>
    <row r="528" spans="2:5" ht="32.25" customHeight="1" x14ac:dyDescent="0.25">
      <c r="B528" s="26"/>
      <c r="C528" s="26"/>
      <c r="D528" s="26"/>
      <c r="E528" s="26"/>
    </row>
    <row r="529" spans="2:21" ht="15.75" customHeight="1" x14ac:dyDescent="0.25">
      <c r="B529" s="22"/>
      <c r="C529" s="22"/>
      <c r="D529" s="22"/>
      <c r="E529" s="22"/>
    </row>
    <row r="530" spans="2:21" ht="23.25" customHeight="1" x14ac:dyDescent="0.25">
      <c r="B530" s="65" t="s">
        <v>282</v>
      </c>
      <c r="C530" s="214"/>
      <c r="J530" s="3">
        <v>192000000</v>
      </c>
      <c r="K530" s="3">
        <f>J530/12</f>
        <v>16000000</v>
      </c>
    </row>
    <row r="531" spans="2:21" x14ac:dyDescent="0.25">
      <c r="B531" s="65" t="s">
        <v>283</v>
      </c>
      <c r="J531" s="3">
        <v>21106726</v>
      </c>
      <c r="K531" s="3">
        <f>J531/12</f>
        <v>1758893.8333333333</v>
      </c>
    </row>
    <row r="532" spans="2:21" ht="36.75" customHeight="1" x14ac:dyDescent="0.25">
      <c r="B532" s="14" t="str">
        <f>("Un detalle de los "&amp;B531&amp;" al "&amp;[1]BALANZA!$B$3&amp;" "&amp;[1]BALANZA!$C$3&amp;" es como se detalla a continuación:")</f>
        <v>Un detalle de los Sueldos, Salarios y beneficios a empleados al 31 de MAYO del 2026  - 2025 es como se detalla a continuación:</v>
      </c>
      <c r="C532" s="32"/>
      <c r="D532" s="32"/>
      <c r="E532" s="32"/>
      <c r="J532" s="3">
        <v>70000000</v>
      </c>
      <c r="K532" s="3">
        <f>J532/12</f>
        <v>5833333.333333333</v>
      </c>
      <c r="L532" s="3">
        <f>4666666*3</f>
        <v>13999998</v>
      </c>
    </row>
    <row r="533" spans="2:21" ht="16.5" customHeight="1" x14ac:dyDescent="0.25">
      <c r="B533" s="211"/>
      <c r="C533" s="21"/>
      <c r="D533" s="21"/>
      <c r="E533" s="21"/>
      <c r="J533" s="3">
        <v>37279088</v>
      </c>
      <c r="L533" s="3">
        <f>1598764*5</f>
        <v>7993820</v>
      </c>
    </row>
    <row r="534" spans="2:21" x14ac:dyDescent="0.25">
      <c r="B534" s="178" t="str">
        <f>+B477</f>
        <v>Cuenta</v>
      </c>
      <c r="C534" s="179">
        <f>+[1]BALANZA!B4</f>
        <v>2026</v>
      </c>
      <c r="D534" s="179">
        <f>+[1]BALANZA!C4</f>
        <v>2025</v>
      </c>
      <c r="E534" s="195" t="s">
        <v>218</v>
      </c>
      <c r="K534" s="3">
        <f>J531+J532+J533</f>
        <v>128385814</v>
      </c>
      <c r="L534" s="3">
        <f>10296372.36+13618335.6</f>
        <v>23914707.960000001</v>
      </c>
    </row>
    <row r="535" spans="2:21" x14ac:dyDescent="0.25">
      <c r="B535" s="245" t="s">
        <v>284</v>
      </c>
      <c r="C535" s="246">
        <f>+'[1]BALANZA G'!C162+'[1]BALANZA G'!C163+'[1]BALANZA G'!C165</f>
        <v>62330534.670000002</v>
      </c>
      <c r="D535" s="246">
        <v>145335261.69</v>
      </c>
      <c r="E535" s="44">
        <f t="shared" ref="E535:E540" si="3">+C535-D535</f>
        <v>-83004727.019999996</v>
      </c>
      <c r="J535" s="3">
        <f>+J533+J530+J532+J531</f>
        <v>320385814</v>
      </c>
      <c r="S535" s="215"/>
      <c r="U535" s="215"/>
    </row>
    <row r="536" spans="2:21" x14ac:dyDescent="0.25">
      <c r="B536" s="245" t="s">
        <v>285</v>
      </c>
      <c r="C536" s="246">
        <f>+'[1]BALANZA G'!C166+'[1]BALANZA G'!C167+'[1]BALANZA G'!C169+'[1]BALANZA G'!C170+'[1]BALANZA G'!C164</f>
        <v>1151750</v>
      </c>
      <c r="D536" s="246">
        <v>0</v>
      </c>
      <c r="E536" s="44">
        <f t="shared" si="3"/>
        <v>1151750</v>
      </c>
      <c r="L536" s="214">
        <f>L534+L533+L532</f>
        <v>45908525.960000001</v>
      </c>
      <c r="S536" s="215"/>
      <c r="U536" s="215"/>
    </row>
    <row r="537" spans="2:21" ht="44.25" customHeight="1" x14ac:dyDescent="0.25">
      <c r="B537" s="245" t="s">
        <v>286</v>
      </c>
      <c r="C537" s="246">
        <f>+'[1]BALANZA G'!C174+'[1]BALANZA G'!C175+'[1]BALANZA G'!C171+'[1]BALANZA G'!C176+'[1]BALANZA G'!C178+'[1]BALANZA G'!C173+'[1]BALANZA G'!C172</f>
        <v>3711254.4</v>
      </c>
      <c r="D537" s="246">
        <v>17865012.939999998</v>
      </c>
      <c r="E537" s="44">
        <f t="shared" si="3"/>
        <v>-14153758.539999997</v>
      </c>
      <c r="S537" s="215"/>
      <c r="U537" s="215"/>
    </row>
    <row r="538" spans="2:21" hidden="1" x14ac:dyDescent="0.25">
      <c r="B538" s="245" t="s">
        <v>287</v>
      </c>
      <c r="C538" s="246">
        <f>+'[1]BALANZA G'!C180</f>
        <v>0</v>
      </c>
      <c r="D538" s="246">
        <v>0</v>
      </c>
      <c r="E538" s="44">
        <f t="shared" si="3"/>
        <v>0</v>
      </c>
      <c r="S538" s="215"/>
      <c r="U538" s="215"/>
    </row>
    <row r="539" spans="2:21" x14ac:dyDescent="0.25">
      <c r="B539" s="245" t="s">
        <v>288</v>
      </c>
      <c r="C539" s="246">
        <f>+'[1]BALANZA G'!C181+'[1]BALANZA G'!C182+'[1]BALANZA G'!C183+'[1]BALANZA G'!C185</f>
        <v>1075000</v>
      </c>
      <c r="D539" s="246">
        <v>2365000</v>
      </c>
      <c r="E539" s="44">
        <f t="shared" si="3"/>
        <v>-1290000</v>
      </c>
      <c r="S539" s="215"/>
      <c r="U539" s="215"/>
    </row>
    <row r="540" spans="2:21" x14ac:dyDescent="0.25">
      <c r="B540" s="245" t="s">
        <v>289</v>
      </c>
      <c r="C540" s="246">
        <f>+'[1]BALANZA G'!C186+'[1]BALANZA G'!C188+'[1]BALANZA G'!C185+'[1]BALANZA G'!C187+'[1]BALANZA G'!C184+'[1]BALANZA G'!C177</f>
        <v>155800</v>
      </c>
      <c r="D540" s="246">
        <v>12070148.16</v>
      </c>
      <c r="E540" s="44">
        <f t="shared" si="3"/>
        <v>-11914348.16</v>
      </c>
      <c r="S540" s="215"/>
      <c r="U540" s="215"/>
    </row>
    <row r="541" spans="2:21" x14ac:dyDescent="0.25">
      <c r="B541" s="245" t="s">
        <v>290</v>
      </c>
      <c r="C541" s="246">
        <f>+'[1]BALANZA G'!C308+'[1]BALANZA G'!C168</f>
        <v>169063.2</v>
      </c>
      <c r="D541" s="246">
        <v>2356004.96</v>
      </c>
      <c r="E541" s="44">
        <f>+C541-D541</f>
        <v>-2186941.7599999998</v>
      </c>
      <c r="S541" s="215"/>
      <c r="U541" s="215"/>
    </row>
    <row r="542" spans="2:21" x14ac:dyDescent="0.25">
      <c r="B542" s="245" t="s">
        <v>291</v>
      </c>
      <c r="C542" s="246">
        <f>+'[1]BALANZA G'!C191</f>
        <v>4423765.6500000004</v>
      </c>
      <c r="D542" s="246">
        <v>10303960.34</v>
      </c>
      <c r="E542" s="44">
        <f>+C542-D542</f>
        <v>-5880194.6899999995</v>
      </c>
      <c r="S542" s="215"/>
      <c r="U542" s="215"/>
    </row>
    <row r="543" spans="2:21" x14ac:dyDescent="0.25">
      <c r="B543" s="245" t="s">
        <v>292</v>
      </c>
      <c r="C543" s="246">
        <f>+'[1]BALANZA G'!C192</f>
        <v>4496723.55</v>
      </c>
      <c r="D543" s="246">
        <v>10318673.390000001</v>
      </c>
      <c r="E543" s="44">
        <f>+C543-D543</f>
        <v>-5821949.8400000008</v>
      </c>
      <c r="S543" s="215"/>
      <c r="U543" s="215"/>
    </row>
    <row r="544" spans="2:21" x14ac:dyDescent="0.25">
      <c r="B544" s="245" t="s">
        <v>293</v>
      </c>
      <c r="C544" s="246">
        <f>+'[1]BALANZA G'!C193</f>
        <v>730250.64</v>
      </c>
      <c r="D544" s="246">
        <v>1728679.77</v>
      </c>
      <c r="E544" s="44">
        <f>+C544-D544</f>
        <v>-998429.13</v>
      </c>
      <c r="S544" s="215"/>
      <c r="U544" s="215"/>
    </row>
    <row r="545" spans="2:26" ht="28.5" x14ac:dyDescent="0.25">
      <c r="B545" s="247" t="s">
        <v>294</v>
      </c>
      <c r="C545" s="122">
        <f>SUM(C535:C544)</f>
        <v>78244142.110000014</v>
      </c>
      <c r="D545" s="197">
        <f>SUM(D535:D544)</f>
        <v>202342741.25000003</v>
      </c>
      <c r="E545" s="248">
        <f>SUM(E535:E544)</f>
        <v>-124098599.13999999</v>
      </c>
    </row>
    <row r="546" spans="2:26" x14ac:dyDescent="0.25">
      <c r="B546" s="11"/>
      <c r="C546" s="249">
        <f>+C545-[1]ERF!B17</f>
        <v>0</v>
      </c>
      <c r="J546" s="49"/>
    </row>
    <row r="547" spans="2:26" s="45" customFormat="1" x14ac:dyDescent="0.25">
      <c r="B547" s="55" t="str">
        <f>("Cambio porcentual con relación al "&amp;$D$118&amp;".")</f>
        <v>Cambio porcentual con relación al 2025.</v>
      </c>
      <c r="C547" s="56"/>
      <c r="D547" s="250" t="str">
        <f>IF(E547&gt;=0,"Aumento","Disminución")</f>
        <v>Aumento</v>
      </c>
      <c r="E547" s="251">
        <f>+C545/D545</f>
        <v>0.38669112431034636</v>
      </c>
      <c r="J547" s="3"/>
      <c r="K547" s="49"/>
      <c r="N547" s="49"/>
      <c r="R547" s="50"/>
      <c r="S547" s="50"/>
      <c r="T547" s="50"/>
      <c r="U547" s="50"/>
      <c r="V547" s="50"/>
      <c r="W547" s="50"/>
      <c r="X547" s="50"/>
      <c r="Y547" s="50"/>
      <c r="Z547" s="49"/>
    </row>
    <row r="548" spans="2:26" x14ac:dyDescent="0.25">
      <c r="B548" s="11"/>
    </row>
    <row r="549" spans="2:26" x14ac:dyDescent="0.25">
      <c r="B549" s="11"/>
    </row>
    <row r="550" spans="2:26" x14ac:dyDescent="0.25">
      <c r="B550" s="11"/>
    </row>
    <row r="551" spans="2:26" x14ac:dyDescent="0.25">
      <c r="B551" s="11"/>
    </row>
    <row r="552" spans="2:26" ht="9.75" customHeight="1" x14ac:dyDescent="0.25">
      <c r="B552" s="11"/>
    </row>
    <row r="553" spans="2:26" x14ac:dyDescent="0.25">
      <c r="B553" s="65" t="s">
        <v>295</v>
      </c>
    </row>
    <row r="554" spans="2:26" x14ac:dyDescent="0.25">
      <c r="B554" s="65" t="s">
        <v>296</v>
      </c>
    </row>
    <row r="555" spans="2:26" ht="38.25" customHeight="1" x14ac:dyDescent="0.25">
      <c r="B555" s="14" t="str">
        <f>("Un detalle de  "&amp;B554&amp;" al "&amp;[1]BALANZA!$B$3&amp;" "&amp;[1]BALANZA!$C$3&amp;" es como se detalla a continuación:")</f>
        <v>Un detalle de  Subvenciones y otros pagos por transferencias al 31 de MAYO del 2026  - 2025 es como se detalla a continuación:</v>
      </c>
      <c r="C555" s="32"/>
      <c r="D555" s="32"/>
      <c r="E555" s="32"/>
    </row>
    <row r="556" spans="2:26" ht="9" customHeight="1" x14ac:dyDescent="0.25">
      <c r="B556" s="13"/>
    </row>
    <row r="557" spans="2:26" x14ac:dyDescent="0.25">
      <c r="B557" s="178" t="s">
        <v>297</v>
      </c>
      <c r="C557" s="179">
        <f>+C569</f>
        <v>2026</v>
      </c>
      <c r="D557" s="179">
        <f>+D569</f>
        <v>2025</v>
      </c>
      <c r="E557" s="207" t="s">
        <v>218</v>
      </c>
    </row>
    <row r="558" spans="2:26" ht="16.5" customHeight="1" x14ac:dyDescent="0.25">
      <c r="B558" s="252" t="s">
        <v>298</v>
      </c>
      <c r="C558" s="116">
        <f>+'[1]BALANZA G'!C309</f>
        <v>0</v>
      </c>
      <c r="D558" s="246">
        <f>+'[1]BALANZA G'!D309+'[1]BALANZA G'!D310</f>
        <v>30000</v>
      </c>
      <c r="E558" s="83">
        <f>+C558-D558</f>
        <v>-30000</v>
      </c>
    </row>
    <row r="559" spans="2:26" ht="23.25" hidden="1" customHeight="1" x14ac:dyDescent="0.25">
      <c r="B559" s="253"/>
      <c r="C559" s="254"/>
      <c r="D559" s="255"/>
      <c r="E559" s="256"/>
      <c r="I559" s="173"/>
      <c r="J559" s="174"/>
      <c r="K559" s="174"/>
    </row>
    <row r="560" spans="2:26" ht="28.5" x14ac:dyDescent="0.25">
      <c r="B560" s="247" t="s">
        <v>299</v>
      </c>
      <c r="C560" s="122">
        <f>SUM(C558+C559)</f>
        <v>0</v>
      </c>
      <c r="D560" s="197">
        <f>SUM(D558)+0.0001</f>
        <v>30000.000100000001</v>
      </c>
      <c r="E560" s="257">
        <f>+C560-D560</f>
        <v>-30000.000100000001</v>
      </c>
    </row>
    <row r="561" spans="2:27" x14ac:dyDescent="0.25">
      <c r="B561" s="108"/>
      <c r="C561" s="249">
        <f>+C560-[1]ERF!B18</f>
        <v>0</v>
      </c>
      <c r="J561" s="49"/>
    </row>
    <row r="562" spans="2:27" s="45" customFormat="1" ht="13.5" customHeight="1" x14ac:dyDescent="0.25">
      <c r="B562" s="55" t="str">
        <f>("Cambio porcentual con relación al "&amp;$D$118&amp;".")</f>
        <v>Cambio porcentual con relación al 2025.</v>
      </c>
      <c r="C562" s="56"/>
      <c r="D562" s="57" t="str">
        <f>IF(E562&gt;=0,"Aumento","Disminución")</f>
        <v>Aumento</v>
      </c>
      <c r="E562" s="258" t="s">
        <v>300</v>
      </c>
      <c r="J562" s="49"/>
      <c r="K562" s="49"/>
      <c r="N562" s="49"/>
      <c r="R562" s="50"/>
      <c r="S562" s="50"/>
      <c r="T562" s="50"/>
      <c r="U562" s="50"/>
      <c r="V562" s="50"/>
      <c r="W562" s="50"/>
      <c r="X562" s="50"/>
      <c r="Y562" s="50"/>
      <c r="Z562" s="49"/>
    </row>
    <row r="563" spans="2:27" s="45" customFormat="1" ht="45" customHeight="1" x14ac:dyDescent="0.25">
      <c r="B563" s="259" t="s">
        <v>301</v>
      </c>
      <c r="C563" s="259"/>
      <c r="D563" s="259"/>
      <c r="E563" s="259"/>
      <c r="J563" s="49"/>
      <c r="K563" s="49"/>
      <c r="N563" s="49"/>
      <c r="R563" s="50"/>
      <c r="S563" s="50"/>
      <c r="T563" s="50"/>
      <c r="U563" s="50"/>
      <c r="V563" s="50"/>
      <c r="W563" s="50"/>
      <c r="X563" s="50"/>
      <c r="Y563" s="50"/>
      <c r="Z563" s="49"/>
    </row>
    <row r="564" spans="2:27" s="45" customFormat="1" ht="12.75" customHeight="1" x14ac:dyDescent="0.25">
      <c r="B564" s="62"/>
      <c r="C564" s="62"/>
      <c r="D564" s="60"/>
      <c r="E564" s="63"/>
      <c r="J564" s="3"/>
      <c r="K564" s="49"/>
      <c r="N564" s="49"/>
      <c r="R564" s="50"/>
      <c r="S564" s="50"/>
      <c r="T564" s="50"/>
      <c r="U564" s="50"/>
      <c r="V564" s="50"/>
      <c r="W564" s="50"/>
      <c r="X564" s="50"/>
      <c r="Y564" s="50"/>
      <c r="Z564" s="49"/>
    </row>
    <row r="565" spans="2:27" x14ac:dyDescent="0.25">
      <c r="B565" s="65" t="s">
        <v>302</v>
      </c>
    </row>
    <row r="566" spans="2:27" x14ac:dyDescent="0.25">
      <c r="B566" s="65" t="s">
        <v>303</v>
      </c>
    </row>
    <row r="567" spans="2:27" ht="36.75" customHeight="1" x14ac:dyDescent="0.25">
      <c r="B567" s="14" t="str">
        <f>("Un detalle del "&amp;B566&amp;" al "&amp;[1]BALANZA!$B$3&amp;" "&amp;[1]BALANZA!$C$3&amp;" es como se detalla a continuación:")</f>
        <v>Un detalle del Suministro y materiales para consumo al 31 de MAYO del 2026  - 2025 es como se detalla a continuación:</v>
      </c>
      <c r="C567" s="32"/>
      <c r="D567" s="32"/>
      <c r="E567" s="32"/>
    </row>
    <row r="568" spans="2:27" ht="8.25" customHeight="1" x14ac:dyDescent="0.25">
      <c r="B568" s="13"/>
    </row>
    <row r="569" spans="2:27" x14ac:dyDescent="0.25">
      <c r="B569" s="178" t="s">
        <v>297</v>
      </c>
      <c r="C569" s="179">
        <f>+[1]BALANZA!B4</f>
        <v>2026</v>
      </c>
      <c r="D569" s="179">
        <f>+[1]BALANZA!C4</f>
        <v>2025</v>
      </c>
      <c r="E569" s="207" t="s">
        <v>218</v>
      </c>
    </row>
    <row r="570" spans="2:27" x14ac:dyDescent="0.25">
      <c r="B570" s="160" t="s">
        <v>304</v>
      </c>
      <c r="C570" s="260">
        <f>+'[1]BALANZA G'!C260+'[1]BALANZA G'!C262+'[1]BALANZA G'!C261+'[1]BALANZA G'!C299</f>
        <v>1539715.47</v>
      </c>
      <c r="D570" s="260">
        <f>+'[1]BALANZA G'!D260+'[1]BALANZA G'!D262+'[1]BALANZA G'!D261+'[1]BALANZA G'!D299</f>
        <v>2765461.46</v>
      </c>
      <c r="E570" s="83">
        <f t="shared" ref="E570:E576" si="4">+C570-D570</f>
        <v>-1225745.99</v>
      </c>
      <c r="K570" s="3">
        <v>866355.16</v>
      </c>
      <c r="T570" s="101"/>
      <c r="Z570" s="3">
        <v>1008264.5</v>
      </c>
      <c r="AA570" s="214">
        <f t="shared" ref="AA570:AA575" si="5">+D570-Z570</f>
        <v>1757196.96</v>
      </c>
    </row>
    <row r="571" spans="2:27" x14ac:dyDescent="0.25">
      <c r="B571" s="160" t="s">
        <v>305</v>
      </c>
      <c r="C571" s="260">
        <f>+'[1]BALANZA G'!C263+'[1]BALANZA G'!C264+'[1]BALANZA G'!C265</f>
        <v>0</v>
      </c>
      <c r="D571" s="38">
        <f>+'[1]BALANZA G'!D263+'[1]BALANZA G'!D264+'[1]BALANZA G'!D265</f>
        <v>636000</v>
      </c>
      <c r="E571" s="83">
        <f t="shared" si="4"/>
        <v>-636000</v>
      </c>
      <c r="K571" s="3">
        <v>0</v>
      </c>
      <c r="T571" s="101"/>
      <c r="Z571" s="3">
        <v>1300</v>
      </c>
      <c r="AA571" s="214">
        <f t="shared" si="5"/>
        <v>634700</v>
      </c>
    </row>
    <row r="572" spans="2:27" x14ac:dyDescent="0.25">
      <c r="B572" s="160" t="s">
        <v>306</v>
      </c>
      <c r="C572" s="260">
        <f>+'[1]BALANZA G'!C266+'[1]BALANZA G'!C268+'[1]BALANZA G'!C269+'[1]BALANZA G'!C267+'[1]BALANZA G'!C270</f>
        <v>76093.39</v>
      </c>
      <c r="D572" s="38">
        <f>+'[1]BALANZA G'!D266+'[1]BALANZA G'!D268+'[1]BALANZA G'!D269+'[1]BALANZA G'!D267+'[1]BALANZA G'!D270</f>
        <v>382921.93</v>
      </c>
      <c r="E572" s="83">
        <f t="shared" si="4"/>
        <v>-306828.53999999998</v>
      </c>
      <c r="K572" s="3">
        <v>480383.55</v>
      </c>
      <c r="T572" s="101"/>
      <c r="Z572" s="3">
        <v>330702</v>
      </c>
      <c r="AA572" s="214">
        <f t="shared" si="5"/>
        <v>52219.929999999993</v>
      </c>
    </row>
    <row r="573" spans="2:27" x14ac:dyDescent="0.25">
      <c r="B573" s="160" t="s">
        <v>307</v>
      </c>
      <c r="C573" s="260">
        <f>+'[1]BALANZA G'!C272+'[1]BALANZA G'!C274+'[1]BALANZA G'!C278+'[1]BALANZA G'!C273</f>
        <v>3700979.06</v>
      </c>
      <c r="D573" s="38">
        <f>+'[1]BALANZA G'!D272+'[1]BALANZA G'!D274+'[1]BALANZA G'!D278+'[1]BALANZA G'!D273</f>
        <v>9387735</v>
      </c>
      <c r="E573" s="83">
        <f t="shared" si="4"/>
        <v>-5686755.9399999995</v>
      </c>
      <c r="K573" s="3">
        <v>8347130</v>
      </c>
      <c r="T573" s="101"/>
      <c r="Z573" s="3">
        <v>7580799</v>
      </c>
      <c r="AA573" s="214">
        <f t="shared" si="5"/>
        <v>1806936</v>
      </c>
    </row>
    <row r="574" spans="2:27" x14ac:dyDescent="0.25">
      <c r="B574" s="160" t="s">
        <v>308</v>
      </c>
      <c r="C574" s="260">
        <f>+'[1]BALANZA G'!C275+'[1]BALANZA G'!C279+'[1]BALANZA G'!C277+'[1]BALANZA G'!C276+'[1]BALANZA G'!C281</f>
        <v>2091480</v>
      </c>
      <c r="D574" s="260">
        <f>+'[1]BALANZA G'!D275+'[1]BALANZA G'!D279+'[1]BALANZA G'!D277+'[1]BALANZA G'!D276+'[1]BALANZA G'!D281</f>
        <v>4567147.57</v>
      </c>
      <c r="E574" s="83">
        <f t="shared" si="4"/>
        <v>-2475667.5700000003</v>
      </c>
      <c r="K574" s="3">
        <v>4435677.3899999997</v>
      </c>
      <c r="T574" s="101"/>
      <c r="Z574" s="3">
        <v>7786358.3699999992</v>
      </c>
      <c r="AA574" s="214">
        <f t="shared" si="5"/>
        <v>-3219210.7999999989</v>
      </c>
    </row>
    <row r="575" spans="2:27" x14ac:dyDescent="0.25">
      <c r="B575" s="160" t="s">
        <v>309</v>
      </c>
      <c r="C575" s="260">
        <f>+'[1]BALANZA G'!C282+'[1]BALANZA G'!C283+'[1]BALANZA G'!C284+'[1]BALANZA G'!C285+'[1]BALANZA G'!C286+'[1]BALANZA G'!C287+'[1]BALANZA G'!C304+'[1]BALANZA G'!C294+'[1]BALANZA G'!C295+'[1]BALANZA G'!C292+'[1]BALANZA G'!C293+'[1]BALANZA G'!C289+'[1]BALANZA G'!C290+'[1]BALANZA G'!C291+'[1]BALANZA G'!C296+'[1]BALANZA G'!C297+'[1]BALANZA G'!C298+'[1]BALANZA G'!C300+'[1]BALANZA G'!C302+'[1]BALANZA G'!C301+'[1]BALANZA G'!C288+'[1]BALANZA G'!C242</f>
        <v>1524633.6400000001</v>
      </c>
      <c r="D575" s="260">
        <f>+'[1]BALANZA G'!D282+'[1]BALANZA G'!D283+'[1]BALANZA G'!D284+'[1]BALANZA G'!D285+'[1]BALANZA G'!D286+'[1]BALANZA G'!D287+'[1]BALANZA G'!D304+'[1]BALANZA G'!D294+'[1]BALANZA G'!D295+'[1]BALANZA G'!D292+'[1]BALANZA G'!D293+'[1]BALANZA G'!D289+'[1]BALANZA G'!D290+'[1]BALANZA G'!D291+'[1]BALANZA G'!D296+'[1]BALANZA G'!D297+'[1]BALANZA G'!D298+'[1]BALANZA G'!D300+'[1]BALANZA G'!D302+'[1]BALANZA G'!D301+'[1]BALANZA G'!D288+'[1]BALANZA G'!D242</f>
        <v>9813882.0600000005</v>
      </c>
      <c r="E575" s="83">
        <f t="shared" si="4"/>
        <v>-8289248.4199999999</v>
      </c>
      <c r="K575" s="3">
        <v>12024201.759999998</v>
      </c>
      <c r="T575" s="101"/>
      <c r="Z575" s="3">
        <v>3423165.7</v>
      </c>
      <c r="AA575" s="214">
        <f t="shared" si="5"/>
        <v>6390716.3600000003</v>
      </c>
    </row>
    <row r="576" spans="2:27" x14ac:dyDescent="0.25">
      <c r="B576" s="160" t="s">
        <v>310</v>
      </c>
      <c r="C576" s="260">
        <f>+'[1]BALANZA G'!C304</f>
        <v>0</v>
      </c>
      <c r="D576" s="38">
        <v>0</v>
      </c>
      <c r="E576" s="83">
        <f t="shared" si="4"/>
        <v>0</v>
      </c>
      <c r="K576" s="3">
        <v>0</v>
      </c>
    </row>
    <row r="577" spans="2:26" x14ac:dyDescent="0.25">
      <c r="B577" s="247" t="s">
        <v>311</v>
      </c>
      <c r="C577" s="47">
        <f>SUM(C570:C576)</f>
        <v>8932901.5600000005</v>
      </c>
      <c r="D577" s="96">
        <f>SUM(D570:D576)</f>
        <v>27553148.020000003</v>
      </c>
      <c r="E577" s="47">
        <f>SUM(E570:E576)</f>
        <v>-18620246.460000001</v>
      </c>
      <c r="K577" s="3">
        <v>26153747.859999999</v>
      </c>
    </row>
    <row r="578" spans="2:26" x14ac:dyDescent="0.25">
      <c r="B578" s="261"/>
      <c r="C578" s="97">
        <f>+C577-[1]ERF!B19</f>
        <v>0</v>
      </c>
      <c r="D578" s="88"/>
      <c r="E578" s="89"/>
      <c r="J578" s="49"/>
    </row>
    <row r="579" spans="2:26" s="45" customFormat="1" x14ac:dyDescent="0.25">
      <c r="B579" s="55" t="str">
        <f>("Cambio porcentual con relación al "&amp;$D$118&amp;".")</f>
        <v>Cambio porcentual con relación al 2025.</v>
      </c>
      <c r="C579" s="56"/>
      <c r="D579" s="57" t="str">
        <f>IF(E579&gt;=0,"Aumento","Disminución")</f>
        <v>Disminución</v>
      </c>
      <c r="E579" s="90">
        <f>+E577/D577</f>
        <v>-0.67579379483186908</v>
      </c>
      <c r="J579" s="3"/>
      <c r="K579" s="49"/>
      <c r="N579" s="49"/>
      <c r="R579" s="50"/>
      <c r="S579" s="50"/>
      <c r="T579" s="50"/>
      <c r="U579" s="50"/>
      <c r="V579" s="50"/>
      <c r="W579" s="50"/>
      <c r="X579" s="50"/>
      <c r="Y579" s="50"/>
      <c r="Z579" s="49"/>
    </row>
    <row r="580" spans="2:26" x14ac:dyDescent="0.25">
      <c r="B580" s="62"/>
      <c r="C580" s="62"/>
      <c r="D580" s="262"/>
      <c r="E580" s="63"/>
    </row>
    <row r="581" spans="2:26" ht="9.75" customHeight="1" x14ac:dyDescent="0.25">
      <c r="B581" s="62"/>
      <c r="C581" s="62"/>
      <c r="D581" s="262"/>
      <c r="E581" s="63"/>
    </row>
    <row r="582" spans="2:26" x14ac:dyDescent="0.25">
      <c r="B582" s="65" t="s">
        <v>312</v>
      </c>
    </row>
    <row r="583" spans="2:26" x14ac:dyDescent="0.25">
      <c r="B583" s="65" t="s">
        <v>313</v>
      </c>
    </row>
    <row r="584" spans="2:26" x14ac:dyDescent="0.25">
      <c r="B584" s="14" t="str">
        <f>("Un detalle del "&amp;B583&amp;" al "&amp;[1]BALANZA!$B$3&amp;" "&amp;[1]BALANZA!$C$3&amp;" es como se detalla a continuación:")</f>
        <v>Un detalle del Gasto de Depreciación y Amortización al 31 de MAYO del 2026  - 2025 es como se detalla a continuación:</v>
      </c>
      <c r="C584" s="32"/>
      <c r="D584" s="32"/>
      <c r="E584" s="32"/>
    </row>
    <row r="585" spans="2:26" x14ac:dyDescent="0.25">
      <c r="B585" s="13"/>
    </row>
    <row r="586" spans="2:26" x14ac:dyDescent="0.25">
      <c r="B586" s="178" t="s">
        <v>297</v>
      </c>
      <c r="C586" s="179" t="str">
        <f>+[1]BALANZA!B21</f>
        <v>AUTOMOVILES Y CAMIONES</v>
      </c>
      <c r="D586" s="179">
        <f>+[1]BALANZA!C21</f>
        <v>55553258.920000002</v>
      </c>
      <c r="E586" s="207" t="s">
        <v>218</v>
      </c>
    </row>
    <row r="587" spans="2:26" x14ac:dyDescent="0.25">
      <c r="B587" s="160" t="s">
        <v>314</v>
      </c>
      <c r="C587" s="260">
        <f>+[1]nota12!K29</f>
        <v>3.4924596548080444E-10</v>
      </c>
      <c r="D587" s="38">
        <f>+[1]nota12!K14</f>
        <v>46443109.390000008</v>
      </c>
      <c r="E587" s="83">
        <f>+C587-D587</f>
        <v>-46443109.390000008</v>
      </c>
    </row>
    <row r="588" spans="2:26" x14ac:dyDescent="0.25">
      <c r="B588" s="160" t="s">
        <v>315</v>
      </c>
      <c r="C588" s="260">
        <f>+'[1]BALANZA G'!C305</f>
        <v>86900</v>
      </c>
      <c r="D588" s="260">
        <f>-D373</f>
        <v>86900</v>
      </c>
      <c r="E588" s="83">
        <f>+C588-D588</f>
        <v>0</v>
      </c>
    </row>
    <row r="589" spans="2:26" x14ac:dyDescent="0.25">
      <c r="B589" s="160"/>
      <c r="C589" s="260"/>
      <c r="D589" s="38"/>
      <c r="E589" s="83">
        <f>+C589-D589</f>
        <v>0</v>
      </c>
    </row>
    <row r="590" spans="2:26" x14ac:dyDescent="0.25">
      <c r="B590" s="247" t="s">
        <v>316</v>
      </c>
      <c r="C590" s="47">
        <f>SUM(C587:C589)</f>
        <v>86900.000000000349</v>
      </c>
      <c r="D590" s="96">
        <f>SUM(D587:D589)</f>
        <v>46530009.390000008</v>
      </c>
      <c r="E590" s="47">
        <f>SUM(E587:E589)</f>
        <v>-46443109.390000008</v>
      </c>
    </row>
    <row r="591" spans="2:26" x14ac:dyDescent="0.25">
      <c r="B591" s="261"/>
      <c r="C591" s="263">
        <f>+C590-[1]ERF!B20</f>
        <v>0</v>
      </c>
      <c r="D591" s="263">
        <f>+D590-[1]ERF!C20</f>
        <v>0</v>
      </c>
      <c r="E591" s="89"/>
    </row>
    <row r="592" spans="2:26" x14ac:dyDescent="0.25">
      <c r="B592" s="55" t="str">
        <f>("Cambio porcentual con relación al "&amp;$D$118&amp;".")</f>
        <v>Cambio porcentual con relación al 2025.</v>
      </c>
      <c r="C592" s="56"/>
      <c r="D592" s="57" t="str">
        <f>IF(E592&gt;=0,"Aumento","Disminución")</f>
        <v>Disminución</v>
      </c>
      <c r="E592" s="90">
        <f>+E590/D590</f>
        <v>-0.99813238808374971</v>
      </c>
    </row>
    <row r="593" spans="2:21" x14ac:dyDescent="0.25">
      <c r="B593" s="62"/>
      <c r="C593" s="62"/>
      <c r="D593" s="262"/>
      <c r="E593" s="63"/>
    </row>
    <row r="594" spans="2:21" x14ac:dyDescent="0.25">
      <c r="B594" s="62"/>
      <c r="C594" s="62"/>
      <c r="D594" s="262"/>
      <c r="E594" s="63"/>
    </row>
    <row r="595" spans="2:21" ht="11.25" customHeight="1" x14ac:dyDescent="0.25">
      <c r="B595" s="62"/>
      <c r="C595" s="264"/>
      <c r="D595" s="262"/>
      <c r="E595" s="63"/>
    </row>
    <row r="596" spans="2:21" ht="9.75" customHeight="1" x14ac:dyDescent="0.25">
      <c r="B596" s="62"/>
      <c r="C596" s="62"/>
      <c r="D596" s="262"/>
      <c r="E596" s="63"/>
    </row>
    <row r="597" spans="2:21" ht="56.25" customHeight="1" x14ac:dyDescent="0.25">
      <c r="B597" s="62"/>
      <c r="C597" s="62"/>
      <c r="D597" s="262"/>
      <c r="E597" s="63"/>
    </row>
    <row r="598" spans="2:21" ht="16.5" customHeight="1" x14ac:dyDescent="0.25">
      <c r="B598" s="265" t="s">
        <v>317</v>
      </c>
    </row>
    <row r="599" spans="2:21" x14ac:dyDescent="0.25">
      <c r="B599" s="265" t="s">
        <v>318</v>
      </c>
    </row>
    <row r="600" spans="2:21" ht="18.75" customHeight="1" x14ac:dyDescent="0.25">
      <c r="B600" s="14" t="str">
        <f>("Un detalle de "&amp;B599&amp;" al "&amp;[1]BALANZA!$B$3&amp;" "&amp;[1]BALANZA!$C$3&amp;" es como se detalla a continuación:")</f>
        <v>Un detalle de Otros gastos  al 31 de MAYO del 2026  - 2025 es como se detalla a continuación:</v>
      </c>
      <c r="C600" s="32"/>
      <c r="D600" s="32"/>
      <c r="E600" s="32"/>
    </row>
    <row r="601" spans="2:21" ht="8.25" customHeight="1" x14ac:dyDescent="0.25">
      <c r="B601" s="13"/>
      <c r="G601" s="10"/>
    </row>
    <row r="602" spans="2:21" ht="18.75" customHeight="1" x14ac:dyDescent="0.25">
      <c r="B602" s="33" t="s">
        <v>319</v>
      </c>
      <c r="C602" s="34">
        <f>+[1]BALANZA!B4</f>
        <v>2026</v>
      </c>
      <c r="D602" s="34">
        <f>+[1]BALANZA!C4</f>
        <v>2025</v>
      </c>
      <c r="E602" s="207" t="s">
        <v>218</v>
      </c>
    </row>
    <row r="603" spans="2:21" x14ac:dyDescent="0.25">
      <c r="B603" s="117" t="s">
        <v>320</v>
      </c>
      <c r="C603" s="266">
        <f>+'[1]BALANZA G'!C205+'[1]BALANZA G'!C206+'[1]BALANZA G'!C207+'[1]BALANZA G'!C208</f>
        <v>1263674.06</v>
      </c>
      <c r="D603" s="266">
        <f>+'[1]BALANZA G'!D205+'[1]BALANZA G'!D206+'[1]BALANZA G'!D207+'[1]BALANZA G'!D208</f>
        <v>3043466.5100000002</v>
      </c>
      <c r="E603" s="44">
        <f>+C603-D603</f>
        <v>-1779792.4500000002</v>
      </c>
      <c r="I603" s="93"/>
      <c r="K603" s="3">
        <v>2898777.65</v>
      </c>
      <c r="U603" s="215"/>
    </row>
    <row r="604" spans="2:21" x14ac:dyDescent="0.25">
      <c r="B604" s="117" t="s">
        <v>321</v>
      </c>
      <c r="C604" s="266">
        <f>+'[1]BALANZA G'!C209</f>
        <v>25194787.539999999</v>
      </c>
      <c r="D604" s="266">
        <f>+'[1]BALANZA G'!D209</f>
        <v>72820992.290000007</v>
      </c>
      <c r="E604" s="44">
        <f>+C604-D604</f>
        <v>-47626204.750000007</v>
      </c>
      <c r="I604" s="93"/>
      <c r="K604" s="3">
        <v>63713429.090000004</v>
      </c>
      <c r="U604" s="215"/>
    </row>
    <row r="605" spans="2:21" x14ac:dyDescent="0.25">
      <c r="B605" s="160" t="s">
        <v>322</v>
      </c>
      <c r="C605" s="266">
        <f>+'[1]BALANZA G'!C213+'[1]BALANZA G'!C210+'[1]BALANZA G'!C211</f>
        <v>526854</v>
      </c>
      <c r="D605" s="266">
        <f>+'[1]BALANZA G'!D213+'[1]BALANZA G'!D210+'[1]BALANZA G'!D211</f>
        <v>1240392.55</v>
      </c>
      <c r="E605" s="44">
        <f t="shared" ref="E605:E611" si="6">+C605-D605</f>
        <v>-713538.55</v>
      </c>
      <c r="I605" s="93"/>
      <c r="K605" s="3">
        <v>1132137.44</v>
      </c>
      <c r="U605" s="215"/>
    </row>
    <row r="606" spans="2:21" x14ac:dyDescent="0.25">
      <c r="B606" s="160" t="s">
        <v>323</v>
      </c>
      <c r="C606" s="266">
        <f>+'[1]BALANZA G'!C215+'[1]BALANZA G'!C214+'[1]BALANZA G'!C212</f>
        <v>759377</v>
      </c>
      <c r="D606" s="266">
        <f>+'[1]BALANZA G'!D212+'[1]BALANZA G'!D214+'[1]BALANZA G'!D215</f>
        <v>984627</v>
      </c>
      <c r="E606" s="44">
        <f t="shared" si="6"/>
        <v>-225250</v>
      </c>
      <c r="I606" s="93"/>
      <c r="K606" s="3">
        <v>925630</v>
      </c>
      <c r="U606" s="215"/>
    </row>
    <row r="607" spans="2:21" x14ac:dyDescent="0.25">
      <c r="B607" s="160" t="s">
        <v>324</v>
      </c>
      <c r="C607" s="266">
        <f>+'[1]BALANZA G'!C218+'[1]BALANZA G'!C217+'[1]BALANZA G'!C216</f>
        <v>3500</v>
      </c>
      <c r="D607" s="266">
        <f>+'[1]BALANZA G'!D218+'[1]BALANZA G'!D217+'[1]BALANZA G'!D216</f>
        <v>0</v>
      </c>
      <c r="E607" s="44">
        <f t="shared" si="6"/>
        <v>3500</v>
      </c>
      <c r="I607" s="93"/>
      <c r="K607" s="3">
        <v>175</v>
      </c>
      <c r="U607" s="215"/>
    </row>
    <row r="608" spans="2:21" x14ac:dyDescent="0.25">
      <c r="B608" s="117" t="s">
        <v>325</v>
      </c>
      <c r="C608" s="266">
        <f>+'[1]BALANZA G'!C220+'[1]BALANZA G'!C221+'[1]BALANZA G'!C223+'[1]BALANZA G'!C224+'[1]BALANZA G'!C225+'[1]BALANZA G'!C222+'[1]BALANZA G'!C226</f>
        <v>457627.12</v>
      </c>
      <c r="D608" s="266">
        <f>+'[1]BALANZA G'!D220+'[1]BALANZA G'!D221+'[1]BALANZA G'!D223+'[1]BALANZA G'!D224+'[1]BALANZA G'!D225+'[1]BALANZA G'!D222+'[1]BALANZA G'!D226</f>
        <v>3525989.46</v>
      </c>
      <c r="E608" s="44">
        <f t="shared" si="6"/>
        <v>-3068362.34</v>
      </c>
      <c r="G608" s="214">
        <f>+K608-D608</f>
        <v>-374140.87999999989</v>
      </c>
      <c r="I608" s="93"/>
      <c r="K608" s="3">
        <v>3151848.58</v>
      </c>
      <c r="U608" s="215"/>
    </row>
    <row r="609" spans="2:26" x14ac:dyDescent="0.25">
      <c r="B609" s="117" t="s">
        <v>326</v>
      </c>
      <c r="C609" s="266">
        <f>+'[1]BALANZA G'!C227+'[1]BALANZA G'!C228</f>
        <v>557793.63</v>
      </c>
      <c r="D609" s="266">
        <f>+'[1]BALANZA G'!D228+'[1]BALANZA G'!D227</f>
        <v>656678.94999999995</v>
      </c>
      <c r="E609" s="44">
        <f t="shared" si="6"/>
        <v>-98885.319999999949</v>
      </c>
      <c r="I609" s="93"/>
      <c r="K609" s="3">
        <v>657127.22</v>
      </c>
      <c r="U609" s="215"/>
    </row>
    <row r="610" spans="2:26" ht="30" x14ac:dyDescent="0.25">
      <c r="B610" s="160" t="s">
        <v>327</v>
      </c>
      <c r="C610" s="266">
        <f>+'[1]BALANZA G'!C230+'[1]BALANZA G'!C231+'[1]BALANZA G'!C232+'[1]BALANZA G'!C233+'[1]BALANZA G'!C234+'[1]BALANZA G'!C236+'[1]BALANZA G'!C238+'[1]BALANZA G'!C239+'[1]BALANZA G'!C240+'[1]BALANZA G'!C241+'[1]BALANZA G'!C243+'[1]BALANZA G'!C244+'[1]BALANZA G'!C245+'[1]BALANZA G'!C235</f>
        <v>3824521.43</v>
      </c>
      <c r="D610" s="266">
        <f>+'[1]BALANZA G'!D230+'[1]BALANZA G'!D231+'[1]BALANZA G'!D232+'[1]BALANZA G'!D233+'[1]BALANZA G'!D234+'[1]BALANZA G'!D236+'[1]BALANZA G'!D238+'[1]BALANZA G'!D239+'[1]BALANZA G'!D240+'[1]BALANZA G'!D241+'[1]BALANZA G'!D243+'[1]BALANZA G'!D244+'[1]BALANZA G'!D245+'[1]BALANZA G'!D235</f>
        <v>5248535.1899999995</v>
      </c>
      <c r="E610" s="267">
        <f t="shared" si="6"/>
        <v>-1424013.7599999993</v>
      </c>
      <c r="I610" s="93"/>
      <c r="K610" s="3">
        <v>9859491.7400000002</v>
      </c>
      <c r="U610" s="215"/>
    </row>
    <row r="611" spans="2:26" ht="21.75" customHeight="1" x14ac:dyDescent="0.25">
      <c r="B611" s="160" t="s">
        <v>328</v>
      </c>
      <c r="C611" s="266">
        <f>+'[1]BALANZA G'!C247+'[1]BALANZA G'!C248+'[1]BALANZA G'!C250+'[1]BALANZA G'!C251+'[1]BALANZA G'!C252+'[1]BALANZA G'!C254+'[1]BALANZA G'!C199+'[1]BALANZA G'!C200+'[1]BALANZA G'!C204+'[1]BALANZA G'!C253</f>
        <v>3341715.3</v>
      </c>
      <c r="D611" s="266">
        <f>+'[1]BALANZA G'!D199+'[1]BALANZA G'!D200+'[1]BALANZA G'!D247+'[1]BALANZA G'!D250+'[1]BALANZA G'!D251+'[1]BALANZA G'!D252+'[1]BALANZA G'!D254+'[1]BALANZA G'!D248+'[1]BALANZA G'!D204+'[1]BALANZA G'!D253</f>
        <v>8700280.1900000013</v>
      </c>
      <c r="E611" s="268">
        <f t="shared" si="6"/>
        <v>-5358564.8900000015</v>
      </c>
      <c r="I611" s="93"/>
      <c r="K611" s="3">
        <v>7481995.21</v>
      </c>
      <c r="U611" s="215"/>
    </row>
    <row r="612" spans="2:26" ht="18.75" customHeight="1" x14ac:dyDescent="0.25">
      <c r="B612" s="85" t="s">
        <v>329</v>
      </c>
      <c r="C612" s="47">
        <f>SUM(C603:C611)</f>
        <v>35929850.079999998</v>
      </c>
      <c r="D612" s="110">
        <f>SUM(D603:D611)</f>
        <v>96220962.140000001</v>
      </c>
      <c r="E612" s="269">
        <f>SUM(E603:E611)</f>
        <v>-60291112.060000002</v>
      </c>
      <c r="K612" s="3">
        <v>89820611.929999992</v>
      </c>
    </row>
    <row r="613" spans="2:26" ht="12.75" customHeight="1" x14ac:dyDescent="0.25">
      <c r="B613" s="13" t="s">
        <v>112</v>
      </c>
      <c r="C613" s="249">
        <f>+C612-[1]ERF!B22</f>
        <v>0</v>
      </c>
      <c r="J613" s="49"/>
    </row>
    <row r="614" spans="2:26" s="45" customFormat="1" x14ac:dyDescent="0.25">
      <c r="B614" s="55" t="str">
        <f>("Cambio porcentual con relación al "&amp;$D$118&amp;".")</f>
        <v>Cambio porcentual con relación al 2025.</v>
      </c>
      <c r="C614" s="56"/>
      <c r="D614" s="57" t="str">
        <f>IF(E614&gt;=0,"Aumento","Disminución")</f>
        <v>Disminución</v>
      </c>
      <c r="E614" s="90">
        <f>+E612/D612</f>
        <v>-0.62659020154337441</v>
      </c>
      <c r="J614" s="3"/>
      <c r="K614" s="49"/>
      <c r="N614" s="49"/>
      <c r="R614" s="50"/>
      <c r="S614" s="50"/>
      <c r="T614" s="50"/>
      <c r="U614" s="50"/>
      <c r="V614" s="50"/>
      <c r="W614" s="50"/>
      <c r="X614" s="50"/>
      <c r="Y614" s="50"/>
      <c r="Z614" s="49"/>
    </row>
    <row r="615" spans="2:26" s="45" customFormat="1" x14ac:dyDescent="0.25">
      <c r="B615" s="62"/>
      <c r="C615" s="62"/>
      <c r="D615" s="60"/>
      <c r="E615" s="63"/>
      <c r="J615" s="3"/>
      <c r="K615" s="49"/>
      <c r="N615" s="49"/>
      <c r="R615" s="50"/>
      <c r="S615" s="50"/>
      <c r="T615" s="50"/>
      <c r="U615" s="50"/>
      <c r="V615" s="50"/>
      <c r="W615" s="50"/>
      <c r="X615" s="50"/>
      <c r="Y615" s="50"/>
      <c r="Z615" s="49"/>
    </row>
    <row r="616" spans="2:26" s="45" customFormat="1" x14ac:dyDescent="0.25">
      <c r="B616" s="62"/>
      <c r="C616" s="62"/>
      <c r="D616" s="60"/>
      <c r="E616" s="63"/>
      <c r="J616" s="3"/>
      <c r="K616" s="49"/>
      <c r="N616" s="49"/>
      <c r="R616" s="50"/>
      <c r="S616" s="50"/>
      <c r="T616" s="50"/>
      <c r="U616" s="50"/>
      <c r="V616" s="50"/>
      <c r="W616" s="50"/>
      <c r="X616" s="50"/>
      <c r="Y616" s="50"/>
      <c r="Z616" s="49"/>
    </row>
    <row r="617" spans="2:26" ht="10.5" customHeight="1" x14ac:dyDescent="0.25">
      <c r="B617" s="62"/>
      <c r="C617" s="62"/>
      <c r="D617" s="262"/>
      <c r="E617" s="63"/>
    </row>
    <row r="618" spans="2:26" x14ac:dyDescent="0.25">
      <c r="B618" s="65" t="s">
        <v>330</v>
      </c>
    </row>
    <row r="619" spans="2:26" ht="21" customHeight="1" x14ac:dyDescent="0.25">
      <c r="B619" s="65" t="s">
        <v>331</v>
      </c>
    </row>
    <row r="620" spans="2:26" ht="30" customHeight="1" x14ac:dyDescent="0.25">
      <c r="B620" s="14" t="str">
        <f>("Un detalle del "&amp;B619&amp;" al "&amp;[1]BALANZA!$B$3&amp;" "&amp;[1]BALANZA!$C$3&amp;" es como se detalla a continuación:")</f>
        <v>Un detalle del Gastos Financieros  al 31 de MAYO del 2026  - 2025 es como se detalla a continuación:</v>
      </c>
      <c r="C620" s="32"/>
      <c r="D620" s="32"/>
      <c r="E620" s="32"/>
    </row>
    <row r="621" spans="2:26" ht="13.5" customHeight="1" x14ac:dyDescent="0.25">
      <c r="B621" s="2"/>
    </row>
    <row r="622" spans="2:26" x14ac:dyDescent="0.25">
      <c r="B622" s="36" t="str">
        <f>+B602</f>
        <v>PARTIDA</v>
      </c>
      <c r="C622" s="270">
        <f>+C602</f>
        <v>2026</v>
      </c>
      <c r="D622" s="270">
        <f>+D602</f>
        <v>2025</v>
      </c>
      <c r="E622" s="207" t="s">
        <v>218</v>
      </c>
    </row>
    <row r="623" spans="2:26" x14ac:dyDescent="0.25">
      <c r="B623" s="160" t="s">
        <v>332</v>
      </c>
      <c r="C623" s="38">
        <f>+'[1]BALANZA G'!C249</f>
        <v>590451.74</v>
      </c>
      <c r="D623" s="38">
        <f>+'[1]BALANZA G'!D249</f>
        <v>692897.94</v>
      </c>
      <c r="E623" s="44">
        <f>+C623-D623</f>
        <v>-102446.19999999995</v>
      </c>
    </row>
    <row r="624" spans="2:26" hidden="1" x14ac:dyDescent="0.25">
      <c r="B624" s="160" t="s">
        <v>333</v>
      </c>
      <c r="C624" s="38">
        <f>+'[1]BALANZA G'!C255</f>
        <v>0</v>
      </c>
      <c r="D624" s="38">
        <f>+'[1]BALANZA G'!D255</f>
        <v>0</v>
      </c>
      <c r="E624" s="44">
        <f>+C624-D624</f>
        <v>0</v>
      </c>
    </row>
    <row r="625" spans="2:26" x14ac:dyDescent="0.25">
      <c r="B625" s="247" t="s">
        <v>334</v>
      </c>
      <c r="C625" s="96">
        <f>SUM(C623:C624)</f>
        <v>590451.74</v>
      </c>
      <c r="D625" s="96">
        <f>SUM(D623:D624)</f>
        <v>692897.94</v>
      </c>
      <c r="E625" s="96">
        <f>SUM(E623:E624)</f>
        <v>-102446.19999999995</v>
      </c>
    </row>
    <row r="626" spans="2:26" x14ac:dyDescent="0.25">
      <c r="B626" s="271"/>
      <c r="C626" s="104">
        <f>+C625-[1]ERF!B23</f>
        <v>0</v>
      </c>
      <c r="D626" s="105"/>
      <c r="E626" s="106"/>
      <c r="J626" s="49"/>
    </row>
    <row r="627" spans="2:26" s="45" customFormat="1" x14ac:dyDescent="0.25">
      <c r="B627" s="55" t="str">
        <f>("Cambio porcentual con relación al "&amp;$D$118&amp;".")</f>
        <v>Cambio porcentual con relación al 2025.</v>
      </c>
      <c r="C627" s="56"/>
      <c r="D627" s="57" t="str">
        <f>IF(E627&gt;=0,"Aumento","Disminución")</f>
        <v>Disminución</v>
      </c>
      <c r="E627" s="90">
        <f>+E625/D625</f>
        <v>-0.14785178896620757</v>
      </c>
      <c r="J627" s="3"/>
      <c r="K627" s="49"/>
      <c r="N627" s="49"/>
      <c r="R627" s="50"/>
      <c r="S627" s="50"/>
      <c r="T627" s="50"/>
      <c r="U627" s="50"/>
      <c r="V627" s="50"/>
      <c r="W627" s="50"/>
      <c r="X627" s="50"/>
      <c r="Y627" s="50"/>
      <c r="Z627" s="49"/>
    </row>
    <row r="628" spans="2:26" x14ac:dyDescent="0.25">
      <c r="B628" s="62"/>
      <c r="C628" s="62"/>
      <c r="D628" s="262"/>
      <c r="E628" s="63"/>
    </row>
    <row r="629" spans="2:26" x14ac:dyDescent="0.25">
      <c r="B629" s="65" t="s">
        <v>335</v>
      </c>
      <c r="C629" s="62"/>
      <c r="D629" s="262"/>
      <c r="E629" s="63"/>
    </row>
    <row r="630" spans="2:26" x14ac:dyDescent="0.25">
      <c r="B630" s="65" t="s">
        <v>336</v>
      </c>
      <c r="C630" s="62"/>
      <c r="D630" s="262"/>
      <c r="E630" s="63"/>
    </row>
    <row r="631" spans="2:26" ht="15" customHeight="1" x14ac:dyDescent="0.25">
      <c r="B631" s="14" t="str">
        <f>("Un detalle de "&amp;B630&amp;" al "&amp;[1]BALANZA!$B$3&amp;" "&amp;[1]BALANZA!$C$3&amp;" es como se detalla a continuación:")</f>
        <v>Un detalle de Compromisos y contingencias al 31 de MAYO del 2026  - 2025 es como se detalla a continuación:</v>
      </c>
      <c r="C631" s="32"/>
      <c r="D631" s="32"/>
      <c r="E631" s="32"/>
    </row>
    <row r="632" spans="2:26" ht="41.25" customHeight="1" x14ac:dyDescent="0.25">
      <c r="B632" s="21" t="str">
        <f>("La facturación historica no cobrada a la fecha de corte, para el "&amp;C634&amp;" presenta un monto de RD$"&amp;R637&amp;" y para el "&amp;D634&amp;" presenta un monto de RD$"&amp;R638&amp;"." )</f>
        <v>La facturación historica no cobrada a la fecha de corte, para el 2026 presenta un monto de RD$513,985,120.94 y para el 2025 presenta un monto de RD$453,841,689.00.</v>
      </c>
      <c r="C632" s="21"/>
      <c r="D632" s="21"/>
      <c r="E632" s="21"/>
    </row>
    <row r="633" spans="2:26" ht="13.5" customHeight="1" x14ac:dyDescent="0.25">
      <c r="B633" s="21"/>
      <c r="C633" s="21"/>
      <c r="D633" s="21"/>
      <c r="E633" s="21"/>
    </row>
    <row r="634" spans="2:26" x14ac:dyDescent="0.25">
      <c r="B634" s="270" t="str">
        <f>+B622</f>
        <v>PARTIDA</v>
      </c>
      <c r="C634" s="270">
        <f>+C622</f>
        <v>2026</v>
      </c>
      <c r="D634" s="270">
        <f>+D622</f>
        <v>2025</v>
      </c>
      <c r="E634" s="207" t="s">
        <v>218</v>
      </c>
    </row>
    <row r="635" spans="2:26" x14ac:dyDescent="0.25">
      <c r="B635" s="160" t="s">
        <v>337</v>
      </c>
      <c r="C635" s="260">
        <f>+C651</f>
        <v>1817264</v>
      </c>
      <c r="D635" s="260">
        <f>+D651</f>
        <v>7909235</v>
      </c>
      <c r="E635" s="83">
        <f>+C635-D635</f>
        <v>-6091971</v>
      </c>
    </row>
    <row r="636" spans="2:26" x14ac:dyDescent="0.25">
      <c r="B636" s="160" t="s">
        <v>338</v>
      </c>
      <c r="C636" s="260">
        <f>+C662-C635</f>
        <v>512167856.94</v>
      </c>
      <c r="D636" s="260">
        <f>+D662-D635</f>
        <v>445932454</v>
      </c>
      <c r="E636" s="83">
        <f>+C636-D636</f>
        <v>66235402.939999998</v>
      </c>
    </row>
    <row r="637" spans="2:26" x14ac:dyDescent="0.25">
      <c r="B637" s="247" t="s">
        <v>339</v>
      </c>
      <c r="C637" s="47">
        <f>SUM(C635:C636)</f>
        <v>513985120.94</v>
      </c>
      <c r="D637" s="47">
        <f>SUM(D635:D636)</f>
        <v>453841689</v>
      </c>
      <c r="E637" s="47">
        <f>SUM(E635:E636)</f>
        <v>60143431.939999998</v>
      </c>
      <c r="R637" s="4" t="str">
        <f>+CONCATENATE(S637,",",T637,",",U637,V637,AB637)</f>
        <v>513,985,120.94</v>
      </c>
      <c r="S637" s="4" t="str">
        <f>MID(C637,1,3)</f>
        <v>513</v>
      </c>
      <c r="T637" s="4" t="str">
        <f>MID(C637,4,3)</f>
        <v>985</v>
      </c>
      <c r="U637" s="4" t="str">
        <f>MID(C637,7,3)</f>
        <v>120</v>
      </c>
      <c r="V637" s="4" t="str">
        <f>MID(C637,10,3)</f>
        <v>.94</v>
      </c>
    </row>
    <row r="638" spans="2:26" x14ac:dyDescent="0.25">
      <c r="B638" s="271"/>
      <c r="C638" s="272"/>
      <c r="D638" s="105"/>
      <c r="E638" s="106"/>
      <c r="J638" s="49"/>
      <c r="R638" s="4" t="str">
        <f>+CONCATENATE(S638,",",T638,",",U638,V638,AB638,".00")</f>
        <v>453,841,689.00</v>
      </c>
      <c r="S638" s="4" t="str">
        <f>MID(D637,1,3)</f>
        <v>453</v>
      </c>
      <c r="T638" s="4" t="str">
        <f>MID(D637,4,3)</f>
        <v>841</v>
      </c>
      <c r="U638" s="4" t="str">
        <f>MID(D637,7,3)</f>
        <v>689</v>
      </c>
      <c r="V638" s="4" t="str">
        <f>MID(D637,10,3)</f>
        <v/>
      </c>
    </row>
    <row r="639" spans="2:26" s="45" customFormat="1" x14ac:dyDescent="0.25">
      <c r="B639" s="55" t="str">
        <f>("Cambio porcentual con relación al "&amp;$D$118&amp;".")</f>
        <v>Cambio porcentual con relación al 2025.</v>
      </c>
      <c r="C639" s="56"/>
      <c r="D639" s="273" t="str">
        <f>IF(E639&gt;=0,"Aumento","Disminución")</f>
        <v>Aumento</v>
      </c>
      <c r="E639" s="274">
        <f>IFERROR((+E637/D637),0)</f>
        <v>0.13252073002046313</v>
      </c>
      <c r="J639" s="3"/>
      <c r="K639" s="49"/>
      <c r="N639" s="49"/>
      <c r="R639" s="50"/>
      <c r="S639" s="50"/>
      <c r="T639" s="50"/>
      <c r="U639" s="50"/>
      <c r="V639" s="50"/>
      <c r="W639" s="50"/>
      <c r="X639" s="50"/>
      <c r="Y639" s="50"/>
      <c r="Z639" s="49"/>
    </row>
    <row r="640" spans="2:26" s="45" customFormat="1" x14ac:dyDescent="0.25">
      <c r="B640" s="59"/>
      <c r="C640" s="59"/>
      <c r="D640" s="275"/>
      <c r="E640" s="276"/>
      <c r="J640" s="3"/>
      <c r="K640" s="49"/>
      <c r="N640" s="49"/>
      <c r="R640" s="50"/>
      <c r="S640" s="50"/>
      <c r="T640" s="50"/>
      <c r="U640" s="50"/>
      <c r="V640" s="50"/>
      <c r="W640" s="50"/>
      <c r="X640" s="50"/>
      <c r="Y640" s="50"/>
      <c r="Z640" s="49"/>
    </row>
    <row r="641" spans="2:26" s="45" customFormat="1" x14ac:dyDescent="0.25">
      <c r="B641" s="59"/>
      <c r="C641" s="59"/>
      <c r="D641" s="275"/>
      <c r="E641" s="276"/>
      <c r="J641" s="3"/>
      <c r="K641" s="49"/>
      <c r="N641" s="49"/>
      <c r="R641" s="50"/>
      <c r="S641" s="50"/>
      <c r="T641" s="50"/>
      <c r="U641" s="50"/>
      <c r="V641" s="50"/>
      <c r="W641" s="50"/>
      <c r="X641" s="50"/>
      <c r="Y641" s="50"/>
      <c r="Z641" s="49"/>
    </row>
    <row r="642" spans="2:26" ht="13.5" customHeight="1" x14ac:dyDescent="0.25">
      <c r="B642" s="16"/>
      <c r="C642" s="16"/>
      <c r="D642" s="16"/>
      <c r="E642" s="16"/>
    </row>
    <row r="643" spans="2:26" ht="14.25" customHeight="1" x14ac:dyDescent="0.25"/>
    <row r="644" spans="2:26" ht="41.25" customHeight="1" x14ac:dyDescent="0.25"/>
    <row r="645" spans="2:26" ht="70.5" customHeight="1" x14ac:dyDescent="0.25">
      <c r="B645" s="277" t="s">
        <v>340</v>
      </c>
      <c r="C645" s="277"/>
      <c r="D645" s="277"/>
      <c r="E645" s="277"/>
    </row>
    <row r="646" spans="2:26" s="5" customFormat="1" ht="42.75" customHeight="1" x14ac:dyDescent="0.2">
      <c r="B646" s="278" t="str">
        <f>("La informacion de  Cuentas por Cobrar según el Sistema Comercial al "&amp;[1]BALANZA!B3&amp;" "&amp;[1]BALANZA!C3&amp;" se detalla a continuación")</f>
        <v>La informacion de  Cuentas por Cobrar según el Sistema Comercial al 31 de MAYO del 2026  - 2025 se detalla a continuación</v>
      </c>
      <c r="C646" s="278"/>
      <c r="D646" s="278"/>
      <c r="E646" s="278"/>
      <c r="J646" s="6"/>
      <c r="K646" s="6"/>
      <c r="N646" s="6"/>
      <c r="R646" s="279"/>
      <c r="S646" s="279"/>
      <c r="T646" s="279"/>
      <c r="U646" s="279"/>
      <c r="V646" s="279"/>
      <c r="W646" s="279"/>
      <c r="X646" s="279"/>
      <c r="Y646" s="279"/>
      <c r="Z646" s="6"/>
    </row>
    <row r="647" spans="2:26" x14ac:dyDescent="0.25">
      <c r="B647" s="207" t="str">
        <f>+B634</f>
        <v>PARTIDA</v>
      </c>
      <c r="C647" s="207">
        <f>+C634</f>
        <v>2026</v>
      </c>
      <c r="D647" s="207">
        <f>+D634</f>
        <v>2025</v>
      </c>
      <c r="E647" s="280"/>
    </row>
    <row r="648" spans="2:26" x14ac:dyDescent="0.25">
      <c r="B648" s="225"/>
      <c r="C648" s="44"/>
      <c r="D648" s="281"/>
    </row>
    <row r="649" spans="2:26" x14ac:dyDescent="0.25">
      <c r="B649" s="225" t="s">
        <v>341</v>
      </c>
      <c r="C649" s="44">
        <v>243262</v>
      </c>
      <c r="D649" s="181">
        <v>235712</v>
      </c>
    </row>
    <row r="650" spans="2:26" x14ac:dyDescent="0.25">
      <c r="B650" s="225" t="s">
        <v>342</v>
      </c>
      <c r="C650" s="44">
        <v>2000</v>
      </c>
      <c r="D650" s="181">
        <v>1210</v>
      </c>
    </row>
    <row r="651" spans="2:26" x14ac:dyDescent="0.25">
      <c r="B651" s="225" t="s">
        <v>343</v>
      </c>
      <c r="C651" s="44">
        <f>980788+836476</f>
        <v>1817264</v>
      </c>
      <c r="D651" s="181">
        <f>7130810+778425</f>
        <v>7909235</v>
      </c>
    </row>
    <row r="652" spans="2:26" x14ac:dyDescent="0.25">
      <c r="B652" s="225" t="s">
        <v>344</v>
      </c>
      <c r="C652" s="44">
        <v>590249</v>
      </c>
      <c r="D652" s="181">
        <v>869044</v>
      </c>
    </row>
    <row r="653" spans="2:26" x14ac:dyDescent="0.25">
      <c r="B653" s="225" t="s">
        <v>345</v>
      </c>
      <c r="C653" s="44">
        <v>635899</v>
      </c>
      <c r="D653" s="181">
        <v>920884</v>
      </c>
    </row>
    <row r="654" spans="2:26" x14ac:dyDescent="0.25">
      <c r="B654" s="282" t="s">
        <v>346</v>
      </c>
      <c r="C654" s="283">
        <f>SUM(C649:C653)</f>
        <v>3288674</v>
      </c>
      <c r="D654" s="283">
        <f>SUM(D649:D653)</f>
        <v>9936085</v>
      </c>
    </row>
    <row r="655" spans="2:26" x14ac:dyDescent="0.25">
      <c r="B655" s="225" t="s">
        <v>341</v>
      </c>
      <c r="C655" s="44">
        <v>24407875</v>
      </c>
      <c r="D655" s="181">
        <f>14368305</f>
        <v>14368305</v>
      </c>
    </row>
    <row r="656" spans="2:26" x14ac:dyDescent="0.25">
      <c r="B656" s="225" t="s">
        <v>342</v>
      </c>
      <c r="C656" s="44">
        <v>90874</v>
      </c>
      <c r="D656" s="181">
        <v>68295</v>
      </c>
    </row>
    <row r="657" spans="2:5" x14ac:dyDescent="0.25">
      <c r="B657" s="225" t="s">
        <v>347</v>
      </c>
      <c r="C657" s="44">
        <v>267076</v>
      </c>
      <c r="D657" s="181">
        <v>63646</v>
      </c>
    </row>
    <row r="658" spans="2:5" x14ac:dyDescent="0.25">
      <c r="B658" s="225" t="s">
        <v>348</v>
      </c>
      <c r="C658" s="44">
        <v>3804338</v>
      </c>
      <c r="D658" s="181">
        <v>3352009</v>
      </c>
    </row>
    <row r="659" spans="2:5" x14ac:dyDescent="0.25">
      <c r="B659" s="225" t="s">
        <v>344</v>
      </c>
      <c r="C659" s="44">
        <v>197155719.75</v>
      </c>
      <c r="D659" s="181">
        <v>133132858</v>
      </c>
    </row>
    <row r="660" spans="2:5" x14ac:dyDescent="0.25">
      <c r="B660" s="225" t="s">
        <v>345</v>
      </c>
      <c r="C660" s="44">
        <v>284970564.19</v>
      </c>
      <c r="D660" s="181">
        <v>292920491</v>
      </c>
    </row>
    <row r="661" spans="2:5" x14ac:dyDescent="0.25">
      <c r="B661" s="282" t="s">
        <v>346</v>
      </c>
      <c r="C661" s="283">
        <f>SUM(C655:C660)</f>
        <v>510696446.94</v>
      </c>
      <c r="D661" s="283">
        <f>SUM(D655:D660)</f>
        <v>443905604</v>
      </c>
    </row>
    <row r="662" spans="2:5" x14ac:dyDescent="0.25">
      <c r="B662" s="282" t="s">
        <v>349</v>
      </c>
      <c r="C662" s="283">
        <f>+C654+C661</f>
        <v>513985120.94</v>
      </c>
      <c r="D662" s="283">
        <f>+D654+D661</f>
        <v>453841689</v>
      </c>
    </row>
    <row r="663" spans="2:5" x14ac:dyDescent="0.25">
      <c r="B663" s="284"/>
      <c r="E663" s="280"/>
    </row>
    <row r="664" spans="2:5" x14ac:dyDescent="0.25">
      <c r="B664" s="284"/>
      <c r="C664" s="285"/>
      <c r="E664" s="286"/>
    </row>
    <row r="665" spans="2:5" x14ac:dyDescent="0.25">
      <c r="B665" s="284"/>
      <c r="E665" s="286"/>
    </row>
    <row r="666" spans="2:5" x14ac:dyDescent="0.25">
      <c r="B666" s="284"/>
      <c r="E666" s="280"/>
    </row>
    <row r="667" spans="2:5" x14ac:dyDescent="0.25">
      <c r="B667" s="284"/>
      <c r="E667" s="280"/>
    </row>
    <row r="668" spans="2:5" x14ac:dyDescent="0.25">
      <c r="B668" s="284"/>
      <c r="E668" s="286"/>
    </row>
    <row r="669" spans="2:5" x14ac:dyDescent="0.25">
      <c r="B669" s="284"/>
      <c r="E669" s="280"/>
    </row>
    <row r="670" spans="2:5" x14ac:dyDescent="0.25">
      <c r="B670" s="284"/>
      <c r="E670" s="280"/>
    </row>
    <row r="671" spans="2:5" x14ac:dyDescent="0.25">
      <c r="B671" s="284"/>
      <c r="E671" s="280"/>
    </row>
    <row r="672" spans="2:5" x14ac:dyDescent="0.25">
      <c r="B672" s="284"/>
      <c r="E672" s="280"/>
    </row>
    <row r="673" spans="2:5" x14ac:dyDescent="0.25">
      <c r="B673" s="284"/>
      <c r="E673" s="280"/>
    </row>
    <row r="674" spans="2:5" x14ac:dyDescent="0.25">
      <c r="B674" s="284"/>
      <c r="E674" s="280"/>
    </row>
    <row r="675" spans="2:5" x14ac:dyDescent="0.25">
      <c r="B675" s="284"/>
      <c r="E675" s="280"/>
    </row>
    <row r="676" spans="2:5" x14ac:dyDescent="0.25">
      <c r="B676" s="284"/>
      <c r="E676" s="280"/>
    </row>
    <row r="677" spans="2:5" x14ac:dyDescent="0.25">
      <c r="B677" s="284"/>
      <c r="E677" s="280"/>
    </row>
    <row r="678" spans="2:5" x14ac:dyDescent="0.25">
      <c r="B678" s="284"/>
      <c r="E678" s="280"/>
    </row>
    <row r="679" spans="2:5" x14ac:dyDescent="0.25">
      <c r="B679" s="284"/>
      <c r="E679" s="280"/>
    </row>
    <row r="680" spans="2:5" x14ac:dyDescent="0.25">
      <c r="B680" s="284"/>
      <c r="E680" s="280"/>
    </row>
    <row r="681" spans="2:5" x14ac:dyDescent="0.25">
      <c r="B681" s="284"/>
      <c r="E681" s="280"/>
    </row>
    <row r="682" spans="2:5" x14ac:dyDescent="0.25">
      <c r="B682" s="284"/>
      <c r="E682" s="280"/>
    </row>
    <row r="683" spans="2:5" x14ac:dyDescent="0.25">
      <c r="B683" s="284"/>
      <c r="E683" s="280"/>
    </row>
    <row r="684" spans="2:5" x14ac:dyDescent="0.25">
      <c r="B684" s="284"/>
      <c r="E684" s="280"/>
    </row>
    <row r="685" spans="2:5" x14ac:dyDescent="0.25">
      <c r="B685" s="284"/>
      <c r="E685" s="280"/>
    </row>
    <row r="686" spans="2:5" x14ac:dyDescent="0.25">
      <c r="B686" s="284"/>
      <c r="E686" s="280"/>
    </row>
    <row r="687" spans="2:5" x14ac:dyDescent="0.25">
      <c r="B687" s="284"/>
      <c r="E687" s="280"/>
    </row>
    <row r="688" spans="2:5" x14ac:dyDescent="0.25">
      <c r="B688" s="284"/>
      <c r="E688" s="280"/>
    </row>
    <row r="689" spans="2:5" x14ac:dyDescent="0.25">
      <c r="B689" s="284"/>
      <c r="E689" s="280"/>
    </row>
    <row r="690" spans="2:5" x14ac:dyDescent="0.25">
      <c r="B690" s="284"/>
      <c r="E690" s="280"/>
    </row>
    <row r="691" spans="2:5" x14ac:dyDescent="0.25">
      <c r="B691" s="284"/>
      <c r="E691" s="280"/>
    </row>
    <row r="692" spans="2:5" x14ac:dyDescent="0.25">
      <c r="B692" s="284"/>
      <c r="E692" s="280"/>
    </row>
    <row r="693" spans="2:5" x14ac:dyDescent="0.25">
      <c r="B693" s="284"/>
      <c r="E693" s="280"/>
    </row>
    <row r="694" spans="2:5" x14ac:dyDescent="0.25">
      <c r="B694" s="284"/>
      <c r="E694" s="280"/>
    </row>
    <row r="695" spans="2:5" x14ac:dyDescent="0.25">
      <c r="B695" s="284"/>
      <c r="E695" s="280"/>
    </row>
    <row r="696" spans="2:5" x14ac:dyDescent="0.25">
      <c r="B696" s="284"/>
      <c r="E696" s="280"/>
    </row>
    <row r="697" spans="2:5" x14ac:dyDescent="0.25">
      <c r="B697" s="284"/>
      <c r="E697" s="280"/>
    </row>
    <row r="698" spans="2:5" x14ac:dyDescent="0.25">
      <c r="B698" s="284"/>
      <c r="E698" s="280"/>
    </row>
    <row r="699" spans="2:5" x14ac:dyDescent="0.25">
      <c r="B699" s="284"/>
      <c r="E699" s="280"/>
    </row>
    <row r="700" spans="2:5" x14ac:dyDescent="0.25">
      <c r="B700" s="284"/>
      <c r="E700" s="280"/>
    </row>
    <row r="701" spans="2:5" x14ac:dyDescent="0.25">
      <c r="B701" s="284"/>
      <c r="E701" s="280"/>
    </row>
    <row r="702" spans="2:5" ht="15" customHeight="1" x14ac:dyDescent="0.25">
      <c r="B702" s="284"/>
      <c r="E702" s="280"/>
    </row>
    <row r="703" spans="2:5" x14ac:dyDescent="0.25">
      <c r="B703" s="284"/>
    </row>
    <row r="704" spans="2:5" x14ac:dyDescent="0.25">
      <c r="C704" s="3"/>
    </row>
    <row r="707" spans="2:7" x14ac:dyDescent="0.25">
      <c r="B707" s="284"/>
    </row>
    <row r="709" spans="2:7" x14ac:dyDescent="0.25">
      <c r="B709" s="284">
        <v>136059</v>
      </c>
      <c r="C709" s="2" t="s">
        <v>350</v>
      </c>
    </row>
    <row r="710" spans="2:7" x14ac:dyDescent="0.25">
      <c r="B710" s="284">
        <v>135946</v>
      </c>
      <c r="C710" s="2" t="s">
        <v>351</v>
      </c>
      <c r="G710" s="2">
        <v>705696</v>
      </c>
    </row>
    <row r="711" spans="2:7" x14ac:dyDescent="0.25">
      <c r="B711" s="284">
        <v>135979</v>
      </c>
      <c r="C711" s="2" t="s">
        <v>352</v>
      </c>
      <c r="G711" s="2">
        <v>599024</v>
      </c>
    </row>
    <row r="712" spans="2:7" x14ac:dyDescent="0.25">
      <c r="B712" s="284">
        <v>135955</v>
      </c>
      <c r="C712" s="2" t="s">
        <v>353</v>
      </c>
      <c r="G712" s="2">
        <v>339264</v>
      </c>
    </row>
    <row r="713" spans="2:7" x14ac:dyDescent="0.25">
      <c r="B713" s="284" t="s">
        <v>354</v>
      </c>
      <c r="C713" s="2" t="s">
        <v>355</v>
      </c>
      <c r="G713" s="2">
        <v>18350</v>
      </c>
    </row>
    <row r="714" spans="2:7" x14ac:dyDescent="0.25">
      <c r="B714" s="284">
        <v>136575</v>
      </c>
      <c r="C714" s="2" t="s">
        <v>356</v>
      </c>
      <c r="G714" s="2">
        <v>26051</v>
      </c>
    </row>
    <row r="715" spans="2:7" x14ac:dyDescent="0.25">
      <c r="B715" s="284">
        <v>136082</v>
      </c>
      <c r="C715" s="2" t="s">
        <v>357</v>
      </c>
      <c r="G715" s="2">
        <v>24600</v>
      </c>
    </row>
    <row r="716" spans="2:7" x14ac:dyDescent="0.25">
      <c r="B716" s="284">
        <v>135945</v>
      </c>
      <c r="C716" s="2" t="s">
        <v>358</v>
      </c>
      <c r="G716" s="2">
        <v>6250</v>
      </c>
    </row>
    <row r="717" spans="2:7" x14ac:dyDescent="0.25">
      <c r="B717" s="284">
        <v>135971</v>
      </c>
      <c r="C717" s="2" t="s">
        <v>359</v>
      </c>
      <c r="G717" s="2">
        <v>53616</v>
      </c>
    </row>
    <row r="718" spans="2:7" x14ac:dyDescent="0.25">
      <c r="B718" s="284">
        <v>137615</v>
      </c>
      <c r="C718" s="2" t="s">
        <v>360</v>
      </c>
      <c r="G718" s="2">
        <v>29900</v>
      </c>
    </row>
    <row r="719" spans="2:7" x14ac:dyDescent="0.25">
      <c r="B719" s="284">
        <v>135962</v>
      </c>
      <c r="C719" s="2" t="s">
        <v>361</v>
      </c>
      <c r="G719" s="2">
        <v>33200</v>
      </c>
    </row>
    <row r="720" spans="2:7" x14ac:dyDescent="0.25">
      <c r="B720" s="284">
        <v>136744</v>
      </c>
      <c r="C720" s="2" t="s">
        <v>362</v>
      </c>
      <c r="G720" s="2">
        <v>36189</v>
      </c>
    </row>
    <row r="721" spans="2:7" x14ac:dyDescent="0.25">
      <c r="B721" s="284">
        <v>136065</v>
      </c>
      <c r="C721" s="2" t="s">
        <v>363</v>
      </c>
      <c r="G721" s="2">
        <v>31000</v>
      </c>
    </row>
    <row r="722" spans="2:7" x14ac:dyDescent="0.25">
      <c r="B722" s="284">
        <v>135951</v>
      </c>
      <c r="C722" s="2" t="s">
        <v>364</v>
      </c>
      <c r="G722" s="2">
        <v>36491</v>
      </c>
    </row>
    <row r="723" spans="2:7" x14ac:dyDescent="0.25">
      <c r="B723" s="284">
        <v>136077</v>
      </c>
      <c r="C723" s="2" t="s">
        <v>365</v>
      </c>
      <c r="G723" s="2">
        <v>38832</v>
      </c>
    </row>
    <row r="724" spans="2:7" x14ac:dyDescent="0.25">
      <c r="B724" s="284">
        <v>136090</v>
      </c>
      <c r="C724" s="2" t="s">
        <v>366</v>
      </c>
      <c r="G724" s="2">
        <v>37600</v>
      </c>
    </row>
    <row r="725" spans="2:7" x14ac:dyDescent="0.25">
      <c r="B725" s="284">
        <v>135990</v>
      </c>
      <c r="C725" s="2" t="s">
        <v>367</v>
      </c>
      <c r="G725" s="2">
        <v>229332</v>
      </c>
    </row>
    <row r="726" spans="2:7" x14ac:dyDescent="0.25">
      <c r="B726" s="284">
        <v>1000226</v>
      </c>
      <c r="C726" s="2" t="s">
        <v>368</v>
      </c>
      <c r="G726" s="2">
        <v>223940</v>
      </c>
    </row>
    <row r="727" spans="2:7" x14ac:dyDescent="0.25">
      <c r="B727" s="284">
        <v>135993</v>
      </c>
      <c r="C727" s="2" t="s">
        <v>369</v>
      </c>
      <c r="G727" s="2">
        <v>218600</v>
      </c>
    </row>
    <row r="728" spans="2:7" x14ac:dyDescent="0.25">
      <c r="B728" s="284">
        <v>135954</v>
      </c>
      <c r="C728" s="2" t="s">
        <v>370</v>
      </c>
      <c r="G728" s="2">
        <v>207352</v>
      </c>
    </row>
    <row r="729" spans="2:7" x14ac:dyDescent="0.25">
      <c r="B729" s="284">
        <v>135981</v>
      </c>
      <c r="C729" s="2" t="s">
        <v>371</v>
      </c>
      <c r="G729" s="2">
        <v>197166</v>
      </c>
    </row>
    <row r="730" spans="2:7" x14ac:dyDescent="0.25">
      <c r="B730" s="284">
        <v>135953</v>
      </c>
      <c r="C730" s="2" t="s">
        <v>372</v>
      </c>
      <c r="G730" s="2">
        <v>171745</v>
      </c>
    </row>
    <row r="731" spans="2:7" x14ac:dyDescent="0.25">
      <c r="B731" s="284">
        <v>136092</v>
      </c>
      <c r="C731" s="2" t="s">
        <v>373</v>
      </c>
      <c r="G731" s="2">
        <v>166194</v>
      </c>
    </row>
    <row r="732" spans="2:7" x14ac:dyDescent="0.25">
      <c r="B732" s="284">
        <v>137613</v>
      </c>
      <c r="C732" s="2" t="s">
        <v>374</v>
      </c>
      <c r="G732" s="2">
        <v>130205</v>
      </c>
    </row>
    <row r="733" spans="2:7" x14ac:dyDescent="0.25">
      <c r="B733" s="284">
        <v>136083</v>
      </c>
      <c r="C733" s="2" t="s">
        <v>375</v>
      </c>
      <c r="G733" s="2">
        <v>121935</v>
      </c>
    </row>
    <row r="734" spans="2:7" x14ac:dyDescent="0.25">
      <c r="B734" s="284">
        <v>135709</v>
      </c>
      <c r="C734" s="2" t="s">
        <v>376</v>
      </c>
      <c r="G734" s="2">
        <v>104675</v>
      </c>
    </row>
    <row r="735" spans="2:7" x14ac:dyDescent="0.25">
      <c r="B735" s="284">
        <v>135961</v>
      </c>
      <c r="C735" s="2" t="s">
        <v>377</v>
      </c>
      <c r="G735" s="2">
        <v>104176</v>
      </c>
    </row>
    <row r="736" spans="2:7" x14ac:dyDescent="0.25">
      <c r="B736" s="284">
        <v>135957</v>
      </c>
      <c r="C736" s="2" t="s">
        <v>378</v>
      </c>
      <c r="G736" s="2">
        <v>101378</v>
      </c>
    </row>
    <row r="737" spans="2:7" x14ac:dyDescent="0.25">
      <c r="B737" s="284">
        <v>135710</v>
      </c>
      <c r="C737" s="2" t="s">
        <v>379</v>
      </c>
      <c r="G737" s="2">
        <v>82568</v>
      </c>
    </row>
    <row r="738" spans="2:7" x14ac:dyDescent="0.25">
      <c r="B738" s="284">
        <v>135986</v>
      </c>
      <c r="C738" s="2" t="s">
        <v>380</v>
      </c>
      <c r="G738" s="2">
        <v>82040</v>
      </c>
    </row>
    <row r="739" spans="2:7" x14ac:dyDescent="0.25">
      <c r="B739" s="284">
        <v>135958</v>
      </c>
      <c r="C739" s="2" t="s">
        <v>381</v>
      </c>
      <c r="G739" s="2">
        <v>71637</v>
      </c>
    </row>
    <row r="740" spans="2:7" x14ac:dyDescent="0.25">
      <c r="B740" s="284">
        <v>136731</v>
      </c>
      <c r="C740" s="2" t="s">
        <v>382</v>
      </c>
      <c r="G740" s="2">
        <v>70474</v>
      </c>
    </row>
    <row r="741" spans="2:7" x14ac:dyDescent="0.25">
      <c r="B741" s="284">
        <v>136080</v>
      </c>
      <c r="C741" s="2" t="s">
        <v>383</v>
      </c>
      <c r="G741" s="2">
        <v>61952</v>
      </c>
    </row>
    <row r="742" spans="2:7" x14ac:dyDescent="0.25">
      <c r="B742" s="284">
        <v>135982</v>
      </c>
      <c r="C742" s="2" t="s">
        <v>384</v>
      </c>
      <c r="G742" s="2">
        <v>61844</v>
      </c>
    </row>
    <row r="743" spans="2:7" x14ac:dyDescent="0.25">
      <c r="B743" s="284">
        <v>17</v>
      </c>
      <c r="C743" s="2" t="s">
        <v>385</v>
      </c>
      <c r="G743" s="2">
        <v>59930</v>
      </c>
    </row>
    <row r="744" spans="2:7" x14ac:dyDescent="0.25">
      <c r="B744" s="284">
        <v>135991</v>
      </c>
      <c r="C744" s="2" t="s">
        <v>386</v>
      </c>
      <c r="G744" s="2">
        <v>59227</v>
      </c>
    </row>
    <row r="745" spans="2:7" x14ac:dyDescent="0.25">
      <c r="B745" s="284">
        <v>136740</v>
      </c>
      <c r="C745" s="2" t="s">
        <v>387</v>
      </c>
      <c r="G745" s="2">
        <v>47597</v>
      </c>
    </row>
    <row r="746" spans="2:7" x14ac:dyDescent="0.25">
      <c r="B746" s="284">
        <v>135992</v>
      </c>
      <c r="C746" s="2" t="s">
        <v>388</v>
      </c>
      <c r="G746" s="2">
        <v>47517</v>
      </c>
    </row>
    <row r="747" spans="2:7" x14ac:dyDescent="0.25">
      <c r="B747" s="284">
        <v>135966</v>
      </c>
      <c r="C747" s="2" t="s">
        <v>389</v>
      </c>
      <c r="G747" s="2">
        <v>46137</v>
      </c>
    </row>
    <row r="748" spans="2:7" x14ac:dyDescent="0.25">
      <c r="B748" s="284">
        <v>136085</v>
      </c>
      <c r="C748" s="2" t="s">
        <v>390</v>
      </c>
      <c r="G748" s="2">
        <v>42950</v>
      </c>
    </row>
    <row r="749" spans="2:7" x14ac:dyDescent="0.25">
      <c r="B749" s="284">
        <v>136094</v>
      </c>
      <c r="C749" s="2" t="s">
        <v>391</v>
      </c>
      <c r="G749" s="2">
        <v>42836</v>
      </c>
    </row>
    <row r="750" spans="2:7" x14ac:dyDescent="0.25">
      <c r="B750" s="284">
        <v>135985</v>
      </c>
      <c r="C750" s="2" t="s">
        <v>392</v>
      </c>
      <c r="G750" s="2">
        <v>40966</v>
      </c>
    </row>
    <row r="751" spans="2:7" x14ac:dyDescent="0.25">
      <c r="B751" s="284">
        <v>136095</v>
      </c>
      <c r="C751" s="2" t="s">
        <v>393</v>
      </c>
      <c r="G751" s="2">
        <v>40394</v>
      </c>
    </row>
    <row r="752" spans="2:7" x14ac:dyDescent="0.25">
      <c r="B752" s="284">
        <v>136081</v>
      </c>
      <c r="C752" s="2" t="s">
        <v>394</v>
      </c>
      <c r="G752" s="2">
        <v>40350</v>
      </c>
    </row>
    <row r="753" spans="2:7" x14ac:dyDescent="0.25">
      <c r="B753" s="284">
        <v>135963</v>
      </c>
      <c r="C753" s="2" t="s">
        <v>395</v>
      </c>
      <c r="G753" s="2">
        <v>40130</v>
      </c>
    </row>
    <row r="754" spans="2:7" x14ac:dyDescent="0.25">
      <c r="B754" s="284">
        <v>135964</v>
      </c>
      <c r="C754" s="2" t="s">
        <v>396</v>
      </c>
      <c r="G754" s="2">
        <v>36739</v>
      </c>
    </row>
    <row r="755" spans="2:7" x14ac:dyDescent="0.25">
      <c r="B755" s="284">
        <v>135965</v>
      </c>
      <c r="C755" s="2" t="s">
        <v>397</v>
      </c>
      <c r="G755" s="2">
        <v>36739</v>
      </c>
    </row>
    <row r="756" spans="2:7" x14ac:dyDescent="0.25">
      <c r="B756" s="284">
        <v>138150</v>
      </c>
      <c r="C756" s="2" t="s">
        <v>398</v>
      </c>
      <c r="G756" s="2">
        <v>36717</v>
      </c>
    </row>
    <row r="757" spans="2:7" x14ac:dyDescent="0.25">
      <c r="B757" s="284">
        <v>135959</v>
      </c>
      <c r="C757" s="2" t="s">
        <v>399</v>
      </c>
      <c r="G757" s="2">
        <v>36588</v>
      </c>
    </row>
    <row r="758" spans="2:7" x14ac:dyDescent="0.25">
      <c r="B758" s="284">
        <v>135950</v>
      </c>
      <c r="C758" s="2" t="s">
        <v>400</v>
      </c>
      <c r="G758" s="2">
        <v>36060</v>
      </c>
    </row>
    <row r="759" spans="2:7" x14ac:dyDescent="0.25">
      <c r="B759" s="284">
        <v>135960</v>
      </c>
      <c r="C759" s="2" t="s">
        <v>401</v>
      </c>
      <c r="G759" s="2">
        <v>35706</v>
      </c>
    </row>
    <row r="760" spans="2:7" x14ac:dyDescent="0.25">
      <c r="B760" s="284">
        <v>136084</v>
      </c>
      <c r="C760" s="2" t="s">
        <v>402</v>
      </c>
      <c r="G760" s="2">
        <v>34715</v>
      </c>
    </row>
    <row r="761" spans="2:7" x14ac:dyDescent="0.25">
      <c r="B761" s="284">
        <v>136086</v>
      </c>
      <c r="C761" s="2" t="s">
        <v>403</v>
      </c>
      <c r="G761" s="2">
        <v>33596</v>
      </c>
    </row>
    <row r="762" spans="2:7" x14ac:dyDescent="0.25">
      <c r="B762" s="284">
        <v>135972</v>
      </c>
      <c r="C762" s="2" t="s">
        <v>404</v>
      </c>
      <c r="G762" s="2">
        <v>31000</v>
      </c>
    </row>
    <row r="763" spans="2:7" x14ac:dyDescent="0.25">
      <c r="B763" s="284">
        <v>136097</v>
      </c>
      <c r="C763" s="2" t="s">
        <v>405</v>
      </c>
      <c r="G763" s="2">
        <v>30450</v>
      </c>
    </row>
    <row r="764" spans="2:7" x14ac:dyDescent="0.25">
      <c r="B764" s="284">
        <v>135756</v>
      </c>
      <c r="C764" s="2" t="s">
        <v>406</v>
      </c>
      <c r="G764" s="2">
        <v>28406</v>
      </c>
    </row>
    <row r="765" spans="2:7" x14ac:dyDescent="0.25">
      <c r="B765" s="284">
        <v>135967</v>
      </c>
      <c r="C765" s="2" t="s">
        <v>407</v>
      </c>
      <c r="G765" s="2">
        <v>27700</v>
      </c>
    </row>
    <row r="766" spans="2:7" x14ac:dyDescent="0.25">
      <c r="B766" s="284">
        <v>135968</v>
      </c>
      <c r="C766" s="2" t="s">
        <v>408</v>
      </c>
      <c r="G766" s="2">
        <v>27700</v>
      </c>
    </row>
    <row r="767" spans="2:7" x14ac:dyDescent="0.25">
      <c r="B767" s="284">
        <v>135969</v>
      </c>
      <c r="C767" s="2" t="s">
        <v>409</v>
      </c>
      <c r="G767" s="2">
        <v>27700</v>
      </c>
    </row>
    <row r="768" spans="2:7" x14ac:dyDescent="0.25">
      <c r="B768" s="284">
        <v>135994</v>
      </c>
      <c r="C768" s="2" t="s">
        <v>410</v>
      </c>
      <c r="G768" s="2">
        <v>27700</v>
      </c>
    </row>
    <row r="769" spans="2:7" x14ac:dyDescent="0.25">
      <c r="B769" s="284">
        <v>136087</v>
      </c>
      <c r="C769" s="2" t="s">
        <v>411</v>
      </c>
      <c r="G769" s="2">
        <v>27700</v>
      </c>
    </row>
    <row r="770" spans="2:7" x14ac:dyDescent="0.25">
      <c r="B770" s="284">
        <v>136724</v>
      </c>
      <c r="C770" s="2" t="s">
        <v>412</v>
      </c>
      <c r="G770" s="2">
        <v>27612</v>
      </c>
    </row>
    <row r="771" spans="2:7" x14ac:dyDescent="0.25">
      <c r="B771" s="284">
        <v>136079</v>
      </c>
      <c r="C771" s="2" t="s">
        <v>413</v>
      </c>
      <c r="G771" s="2">
        <v>27425</v>
      </c>
    </row>
    <row r="772" spans="2:7" x14ac:dyDescent="0.25">
      <c r="B772" s="284">
        <v>135984</v>
      </c>
      <c r="C772" s="2" t="s">
        <v>414</v>
      </c>
      <c r="G772" s="2">
        <v>24950</v>
      </c>
    </row>
    <row r="773" spans="2:7" x14ac:dyDescent="0.25">
      <c r="B773" s="284">
        <v>135956</v>
      </c>
      <c r="C773" s="2" t="s">
        <v>415</v>
      </c>
      <c r="G773" s="2">
        <v>19538</v>
      </c>
    </row>
    <row r="774" spans="2:7" x14ac:dyDescent="0.25">
      <c r="B774" s="284">
        <v>137195</v>
      </c>
      <c r="C774" s="2" t="s">
        <v>416</v>
      </c>
      <c r="G774" s="2">
        <v>11635</v>
      </c>
    </row>
    <row r="775" spans="2:7" x14ac:dyDescent="0.25">
      <c r="B775" s="284">
        <v>135987</v>
      </c>
      <c r="C775" s="2" t="s">
        <v>417</v>
      </c>
      <c r="G775" s="2">
        <v>4805</v>
      </c>
    </row>
    <row r="776" spans="2:7" x14ac:dyDescent="0.25">
      <c r="B776" s="284">
        <v>136726</v>
      </c>
      <c r="C776" s="2" t="s">
        <v>418</v>
      </c>
      <c r="G776" s="2">
        <v>3250</v>
      </c>
    </row>
    <row r="777" spans="2:7" x14ac:dyDescent="0.25">
      <c r="B777" s="284">
        <v>135980</v>
      </c>
      <c r="C777" s="2" t="s">
        <v>419</v>
      </c>
      <c r="G777" s="2">
        <v>2620</v>
      </c>
    </row>
    <row r="778" spans="2:7" x14ac:dyDescent="0.25">
      <c r="B778" s="284">
        <v>136091</v>
      </c>
      <c r="C778" s="2" t="s">
        <v>420</v>
      </c>
      <c r="G778" s="2">
        <v>2400</v>
      </c>
    </row>
    <row r="779" spans="2:7" x14ac:dyDescent="0.25">
      <c r="B779" s="284">
        <v>136089</v>
      </c>
      <c r="C779" s="2" t="s">
        <v>421</v>
      </c>
      <c r="G779" s="2">
        <v>1834</v>
      </c>
    </row>
    <row r="780" spans="2:7" x14ac:dyDescent="0.25">
      <c r="B780" s="284">
        <v>136093</v>
      </c>
      <c r="C780" s="2" t="s">
        <v>422</v>
      </c>
      <c r="G780" s="2">
        <v>1210</v>
      </c>
    </row>
    <row r="781" spans="2:7" x14ac:dyDescent="0.25">
      <c r="B781" s="284">
        <v>135989</v>
      </c>
      <c r="C781" s="2" t="s">
        <v>423</v>
      </c>
      <c r="G781" s="2">
        <v>1100</v>
      </c>
    </row>
    <row r="782" spans="2:7" x14ac:dyDescent="0.25">
      <c r="G782" s="2">
        <v>550</v>
      </c>
    </row>
  </sheetData>
  <mergeCells count="144">
    <mergeCell ref="B631:E631"/>
    <mergeCell ref="B632:E632"/>
    <mergeCell ref="B633:E633"/>
    <mergeCell ref="B639:C639"/>
    <mergeCell ref="B645:E645"/>
    <mergeCell ref="B646:E646"/>
    <mergeCell ref="B584:E584"/>
    <mergeCell ref="B592:C592"/>
    <mergeCell ref="B600:E600"/>
    <mergeCell ref="B614:C614"/>
    <mergeCell ref="B620:E620"/>
    <mergeCell ref="B627:C627"/>
    <mergeCell ref="B547:C547"/>
    <mergeCell ref="B555:E555"/>
    <mergeCell ref="B562:C562"/>
    <mergeCell ref="B563:E563"/>
    <mergeCell ref="B567:E567"/>
    <mergeCell ref="B579:C579"/>
    <mergeCell ref="B499:C499"/>
    <mergeCell ref="B501:E501"/>
    <mergeCell ref="B502:E502"/>
    <mergeCell ref="B528:E528"/>
    <mergeCell ref="B532:E532"/>
    <mergeCell ref="B533:E533"/>
    <mergeCell ref="C476:D476"/>
    <mergeCell ref="B482:C482"/>
    <mergeCell ref="B487:E487"/>
    <mergeCell ref="B488:E488"/>
    <mergeCell ref="B489:E489"/>
    <mergeCell ref="C491:D491"/>
    <mergeCell ref="B454:E454"/>
    <mergeCell ref="B455:E455"/>
    <mergeCell ref="B464:C464"/>
    <mergeCell ref="B465:E465"/>
    <mergeCell ref="B473:E473"/>
    <mergeCell ref="B474:E474"/>
    <mergeCell ref="B423:E423"/>
    <mergeCell ref="B424:E424"/>
    <mergeCell ref="B431:C431"/>
    <mergeCell ref="B434:E434"/>
    <mergeCell ref="B435:E435"/>
    <mergeCell ref="B448:C448"/>
    <mergeCell ref="B396:C396"/>
    <mergeCell ref="B397:E397"/>
    <mergeCell ref="B400:E400"/>
    <mergeCell ref="B401:E401"/>
    <mergeCell ref="B407:C407"/>
    <mergeCell ref="B422:E422"/>
    <mergeCell ref="B376:C376"/>
    <mergeCell ref="B378:E378"/>
    <mergeCell ref="B385:E385"/>
    <mergeCell ref="B386:E386"/>
    <mergeCell ref="B387:E387"/>
    <mergeCell ref="B388:E388"/>
    <mergeCell ref="B246:E246"/>
    <mergeCell ref="B247:E247"/>
    <mergeCell ref="B248:E248"/>
    <mergeCell ref="B327:C327"/>
    <mergeCell ref="B368:E368"/>
    <mergeCell ref="B369:E369"/>
    <mergeCell ref="B202:C202"/>
    <mergeCell ref="B207:E207"/>
    <mergeCell ref="B208:E208"/>
    <mergeCell ref="B209:E209"/>
    <mergeCell ref="B228:C228"/>
    <mergeCell ref="B245:E245"/>
    <mergeCell ref="B162:E162"/>
    <mergeCell ref="B163:E163"/>
    <mergeCell ref="B170:C170"/>
    <mergeCell ref="B185:E185"/>
    <mergeCell ref="B191:E191"/>
    <mergeCell ref="B192:E192"/>
    <mergeCell ref="B149:E149"/>
    <mergeCell ref="B150:E150"/>
    <mergeCell ref="B156:C156"/>
    <mergeCell ref="B158:E158"/>
    <mergeCell ref="B160:E160"/>
    <mergeCell ref="B161:E161"/>
    <mergeCell ref="B129:C129"/>
    <mergeCell ref="B136:E136"/>
    <mergeCell ref="B137:E137"/>
    <mergeCell ref="B138:E138"/>
    <mergeCell ref="B145:C145"/>
    <mergeCell ref="B148:E148"/>
    <mergeCell ref="B111:E111"/>
    <mergeCell ref="B112:E112"/>
    <mergeCell ref="B113:E113"/>
    <mergeCell ref="B114:E114"/>
    <mergeCell ref="B115:E115"/>
    <mergeCell ref="B116:E116"/>
    <mergeCell ref="B104:E104"/>
    <mergeCell ref="B105:E105"/>
    <mergeCell ref="B106:E106"/>
    <mergeCell ref="B107:E107"/>
    <mergeCell ref="B108:E108"/>
    <mergeCell ref="B109:E109"/>
    <mergeCell ref="B93:E93"/>
    <mergeCell ref="B94:E94"/>
    <mergeCell ref="B95:E95"/>
    <mergeCell ref="B96:E96"/>
    <mergeCell ref="B97:E97"/>
    <mergeCell ref="B103:E103"/>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14:D616 D579 D547 D499 D464 D396 D376:D377 D327 D228:D229 D482 D170:D183 D156 D448 D145:D146 D562 D431:D432 D379:D383 D407:D420 D129:D134 D564">
    <cfRule type="expression" priority="2" stopIfTrue="1">
      <formula>"$E$165&gt;=1,¨Aumento¨"</formula>
    </cfRule>
  </conditionalFormatting>
  <conditionalFormatting sqref="D592">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2026-06-12T14:46:40Z</dcterms:created>
  <dcterms:modified xsi:type="dcterms:W3CDTF">2026-06-12T14:48:13Z</dcterms:modified>
</cp:coreProperties>
</file>